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2 Projects\Active Projects\IPA ILSFA\03 Work Products\Approved Vendor Management\"/>
    </mc:Choice>
  </mc:AlternateContent>
  <xr:revisionPtr revIDLastSave="0" documentId="8_{9C2231CB-3C53-497E-B615-EF3A8FD3BF29}" xr6:coauthVersionLast="41" xr6:coauthVersionMax="41" xr10:uidLastSave="{00000000-0000-0000-0000-000000000000}"/>
  <bookViews>
    <workbookView xWindow="-120" yWindow="-120" windowWidth="29040" windowHeight="15840" activeTab="2" xr2:uid="{0183DF24-9BF6-4D86-B7A0-9329B6B4F74E}"/>
  </bookViews>
  <sheets>
    <sheet name="PPA" sheetId="3" r:id="rId1"/>
    <sheet name="Lease" sheetId="2" r:id="rId2"/>
    <sheet name="Purchase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" i="2" l="1"/>
  <c r="D8" i="1" l="1"/>
  <c r="D10" i="2"/>
  <c r="D10" i="3"/>
  <c r="D33" i="1" l="1"/>
  <c r="D35" i="2"/>
  <c r="D36" i="3"/>
  <c r="N29" i="3" l="1"/>
  <c r="D17" i="3"/>
  <c r="J5" i="3"/>
  <c r="L4" i="3"/>
  <c r="L5" i="3" s="1"/>
  <c r="L6" i="3" s="1"/>
  <c r="L7" i="3" s="1"/>
  <c r="L8" i="3" s="1"/>
  <c r="L9" i="3" s="1"/>
  <c r="L10" i="3" s="1"/>
  <c r="L11" i="3" s="1"/>
  <c r="L12" i="3" s="1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K4" i="3"/>
  <c r="J5" i="1"/>
  <c r="J6" i="1" s="1"/>
  <c r="N4" i="1"/>
  <c r="L4" i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K4" i="1"/>
  <c r="N29" i="2"/>
  <c r="D16" i="2"/>
  <c r="K5" i="2"/>
  <c r="L4" i="2"/>
  <c r="L5" i="2" s="1"/>
  <c r="L6" i="2" s="1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J5" i="2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N28" i="2" s="1"/>
  <c r="K5" i="3" l="1"/>
  <c r="K6" i="2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J6" i="3"/>
  <c r="M26" i="2"/>
  <c r="N25" i="2"/>
  <c r="N5" i="2"/>
  <c r="N6" i="2" s="1"/>
  <c r="N7" i="2" s="1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/>
  <c r="N26" i="2"/>
  <c r="N27" i="2"/>
  <c r="N4" i="3"/>
  <c r="L24" i="3"/>
  <c r="L25" i="3" s="1"/>
  <c r="L26" i="3" s="1"/>
  <c r="L27" i="3" s="1"/>
  <c r="L28" i="3" s="1"/>
  <c r="M4" i="3"/>
  <c r="M5" i="3"/>
  <c r="K6" i="3"/>
  <c r="M4" i="1"/>
  <c r="K5" i="1"/>
  <c r="M5" i="1" s="1"/>
  <c r="J7" i="1"/>
  <c r="N5" i="1"/>
  <c r="M19" i="2"/>
  <c r="M20" i="2"/>
  <c r="M21" i="2"/>
  <c r="M27" i="2"/>
  <c r="M28" i="2"/>
  <c r="M22" i="2"/>
  <c r="M24" i="2"/>
  <c r="M17" i="2"/>
  <c r="M25" i="2"/>
  <c r="M23" i="2"/>
  <c r="M16" i="2"/>
  <c r="M18" i="2"/>
  <c r="M12" i="2"/>
  <c r="M4" i="2"/>
  <c r="M6" i="2"/>
  <c r="M14" i="2"/>
  <c r="N4" i="2"/>
  <c r="M7" i="2"/>
  <c r="M15" i="2"/>
  <c r="M8" i="2"/>
  <c r="M9" i="2"/>
  <c r="M10" i="2"/>
  <c r="M11" i="2"/>
  <c r="M5" i="2"/>
  <c r="M13" i="2"/>
  <c r="N5" i="3" l="1"/>
  <c r="O5" i="3" s="1"/>
  <c r="P5" i="3" s="1"/>
  <c r="N6" i="3"/>
  <c r="J7" i="3"/>
  <c r="O4" i="1"/>
  <c r="N30" i="2"/>
  <c r="P30" i="2" s="1"/>
  <c r="O4" i="3"/>
  <c r="M30" i="2"/>
  <c r="M6" i="3"/>
  <c r="K7" i="3"/>
  <c r="O5" i="1"/>
  <c r="P5" i="1" s="1"/>
  <c r="K6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N6" i="1"/>
  <c r="J8" i="1"/>
  <c r="O4" i="2"/>
  <c r="O5" i="2"/>
  <c r="P5" i="2" s="1"/>
  <c r="J8" i="3" l="1"/>
  <c r="N7" i="3"/>
  <c r="N7" i="1"/>
  <c r="N8" i="1" s="1"/>
  <c r="P4" i="3"/>
  <c r="D39" i="3" s="1"/>
  <c r="P4" i="1"/>
  <c r="D36" i="1" s="1"/>
  <c r="M6" i="1"/>
  <c r="M7" i="1"/>
  <c r="O6" i="3"/>
  <c r="K8" i="3"/>
  <c r="M7" i="3"/>
  <c r="J9" i="1"/>
  <c r="M8" i="1"/>
  <c r="P4" i="2"/>
  <c r="D38" i="2" s="1"/>
  <c r="O6" i="2"/>
  <c r="P6" i="2" s="1"/>
  <c r="O7" i="1" l="1"/>
  <c r="P7" i="1" s="1"/>
  <c r="N8" i="3"/>
  <c r="J9" i="3"/>
  <c r="O6" i="1"/>
  <c r="O7" i="3"/>
  <c r="P7" i="3" s="1"/>
  <c r="K9" i="3"/>
  <c r="M8" i="3"/>
  <c r="P6" i="3"/>
  <c r="O8" i="1"/>
  <c r="P8" i="1" s="1"/>
  <c r="M9" i="1"/>
  <c r="J10" i="1"/>
  <c r="N9" i="1"/>
  <c r="O7" i="2"/>
  <c r="P7" i="2" s="1"/>
  <c r="N9" i="3" l="1"/>
  <c r="J10" i="3"/>
  <c r="O8" i="3"/>
  <c r="P8" i="3" s="1"/>
  <c r="P6" i="1"/>
  <c r="K10" i="3"/>
  <c r="M9" i="3"/>
  <c r="O9" i="1"/>
  <c r="P9" i="1" s="1"/>
  <c r="N10" i="1"/>
  <c r="M10" i="1"/>
  <c r="J11" i="1"/>
  <c r="O8" i="2"/>
  <c r="N10" i="3" l="1"/>
  <c r="J11" i="3"/>
  <c r="O9" i="3"/>
  <c r="K11" i="3"/>
  <c r="M10" i="3"/>
  <c r="O10" i="3" s="1"/>
  <c r="P10" i="3" s="1"/>
  <c r="O10" i="1"/>
  <c r="N11" i="1"/>
  <c r="M11" i="1"/>
  <c r="J12" i="1"/>
  <c r="O9" i="2"/>
  <c r="P9" i="2" s="1"/>
  <c r="P8" i="2"/>
  <c r="N11" i="3" l="1"/>
  <c r="J12" i="3"/>
  <c r="P10" i="1"/>
  <c r="K12" i="3"/>
  <c r="M11" i="3"/>
  <c r="O11" i="3" s="1"/>
  <c r="P11" i="3" s="1"/>
  <c r="P9" i="3"/>
  <c r="N12" i="1"/>
  <c r="M12" i="1"/>
  <c r="J13" i="1"/>
  <c r="O11" i="1"/>
  <c r="O10" i="2"/>
  <c r="N12" i="3" l="1"/>
  <c r="J13" i="3"/>
  <c r="K13" i="3"/>
  <c r="M12" i="3"/>
  <c r="O12" i="3" s="1"/>
  <c r="O12" i="1"/>
  <c r="P12" i="1" s="1"/>
  <c r="P11" i="1"/>
  <c r="J14" i="1"/>
  <c r="N13" i="1"/>
  <c r="M13" i="1"/>
  <c r="P10" i="2"/>
  <c r="O11" i="2"/>
  <c r="P11" i="2" s="1"/>
  <c r="N13" i="3" l="1"/>
  <c r="J14" i="3"/>
  <c r="P12" i="3"/>
  <c r="K14" i="3"/>
  <c r="M13" i="3"/>
  <c r="O13" i="3" s="1"/>
  <c r="P13" i="3" s="1"/>
  <c r="O13" i="1"/>
  <c r="P13" i="1" s="1"/>
  <c r="M14" i="1"/>
  <c r="J15" i="1"/>
  <c r="N14" i="1"/>
  <c r="O12" i="2"/>
  <c r="P12" i="2" s="1"/>
  <c r="N14" i="3" l="1"/>
  <c r="J15" i="3"/>
  <c r="K15" i="3"/>
  <c r="M14" i="3"/>
  <c r="O14" i="3" s="1"/>
  <c r="P14" i="3" s="1"/>
  <c r="O14" i="1"/>
  <c r="P14" i="1" s="1"/>
  <c r="J16" i="1"/>
  <c r="N15" i="1"/>
  <c r="M15" i="1"/>
  <c r="O13" i="2"/>
  <c r="P13" i="2" s="1"/>
  <c r="N15" i="3" l="1"/>
  <c r="J16" i="3"/>
  <c r="K16" i="3"/>
  <c r="M15" i="3"/>
  <c r="O15" i="3" s="1"/>
  <c r="P15" i="3" s="1"/>
  <c r="J17" i="1"/>
  <c r="M16" i="1"/>
  <c r="N16" i="1"/>
  <c r="O15" i="1"/>
  <c r="P15" i="1" s="1"/>
  <c r="O14" i="2"/>
  <c r="P14" i="2" s="1"/>
  <c r="N16" i="3" l="1"/>
  <c r="J17" i="3"/>
  <c r="K17" i="3"/>
  <c r="M16" i="3"/>
  <c r="O16" i="3" s="1"/>
  <c r="P16" i="3" s="1"/>
  <c r="O16" i="1"/>
  <c r="P16" i="1" s="1"/>
  <c r="J18" i="1"/>
  <c r="M17" i="1"/>
  <c r="N17" i="1"/>
  <c r="O15" i="2"/>
  <c r="P15" i="2" s="1"/>
  <c r="N17" i="3" l="1"/>
  <c r="J18" i="3"/>
  <c r="K18" i="3"/>
  <c r="M17" i="3"/>
  <c r="O17" i="3" s="1"/>
  <c r="P17" i="3" s="1"/>
  <c r="M18" i="1"/>
  <c r="J19" i="1"/>
  <c r="N18" i="1"/>
  <c r="O17" i="1"/>
  <c r="P17" i="1" s="1"/>
  <c r="O16" i="2"/>
  <c r="P16" i="2" s="1"/>
  <c r="N18" i="3" l="1"/>
  <c r="J19" i="3"/>
  <c r="K19" i="3"/>
  <c r="M18" i="3"/>
  <c r="O18" i="3" s="1"/>
  <c r="P18" i="3" s="1"/>
  <c r="O18" i="1"/>
  <c r="P18" i="1" s="1"/>
  <c r="N19" i="1"/>
  <c r="M19" i="1"/>
  <c r="J20" i="1"/>
  <c r="O17" i="2"/>
  <c r="P17" i="2" s="1"/>
  <c r="N19" i="3" l="1"/>
  <c r="J20" i="3"/>
  <c r="K20" i="3"/>
  <c r="M19" i="3"/>
  <c r="O19" i="3" s="1"/>
  <c r="P19" i="3" s="1"/>
  <c r="N20" i="1"/>
  <c r="M20" i="1"/>
  <c r="J21" i="1"/>
  <c r="O19" i="1"/>
  <c r="P19" i="1" s="1"/>
  <c r="O19" i="2"/>
  <c r="P19" i="2" s="1"/>
  <c r="O18" i="2"/>
  <c r="N20" i="3" l="1"/>
  <c r="J21" i="3"/>
  <c r="K21" i="3"/>
  <c r="M20" i="3"/>
  <c r="O20" i="3" s="1"/>
  <c r="P20" i="3" s="1"/>
  <c r="O20" i="1"/>
  <c r="P20" i="1" s="1"/>
  <c r="N21" i="1"/>
  <c r="M21" i="1"/>
  <c r="J22" i="1"/>
  <c r="P18" i="2"/>
  <c r="O20" i="2"/>
  <c r="P20" i="2" s="1"/>
  <c r="N21" i="3" l="1"/>
  <c r="J22" i="3"/>
  <c r="K22" i="3"/>
  <c r="K23" i="3" s="1"/>
  <c r="M21" i="3"/>
  <c r="O21" i="3" s="1"/>
  <c r="P21" i="3" s="1"/>
  <c r="O21" i="1"/>
  <c r="P21" i="1" s="1"/>
  <c r="N22" i="1"/>
  <c r="M22" i="1"/>
  <c r="J23" i="1"/>
  <c r="J23" i="3" l="1"/>
  <c r="M23" i="3" s="1"/>
  <c r="N22" i="3"/>
  <c r="M22" i="3"/>
  <c r="O22" i="1"/>
  <c r="P22" i="1" s="1"/>
  <c r="J24" i="1"/>
  <c r="N23" i="1"/>
  <c r="M23" i="1"/>
  <c r="O22" i="2"/>
  <c r="P22" i="2" s="1"/>
  <c r="O21" i="2"/>
  <c r="O22" i="3" l="1"/>
  <c r="P22" i="3" s="1"/>
  <c r="N23" i="3"/>
  <c r="O23" i="3" s="1"/>
  <c r="P23" i="3" s="1"/>
  <c r="J24" i="3"/>
  <c r="O23" i="1"/>
  <c r="P23" i="1" s="1"/>
  <c r="K24" i="3"/>
  <c r="J25" i="1"/>
  <c r="N24" i="1"/>
  <c r="M24" i="1"/>
  <c r="P21" i="2"/>
  <c r="N24" i="3" l="1"/>
  <c r="J25" i="3"/>
  <c r="K25" i="3"/>
  <c r="M24" i="3"/>
  <c r="O24" i="3" s="1"/>
  <c r="P24" i="3" s="1"/>
  <c r="O24" i="1"/>
  <c r="P24" i="1" s="1"/>
  <c r="J26" i="1"/>
  <c r="M25" i="1"/>
  <c r="N25" i="1"/>
  <c r="O24" i="2"/>
  <c r="P24" i="2" s="1"/>
  <c r="O23" i="2"/>
  <c r="N25" i="3" l="1"/>
  <c r="J26" i="3"/>
  <c r="K26" i="3"/>
  <c r="M25" i="3"/>
  <c r="O25" i="3" s="1"/>
  <c r="P25" i="3" s="1"/>
  <c r="N26" i="1"/>
  <c r="J27" i="1"/>
  <c r="M26" i="1"/>
  <c r="O25" i="1"/>
  <c r="P25" i="1" s="1"/>
  <c r="P23" i="2"/>
  <c r="N26" i="3" l="1"/>
  <c r="J27" i="3"/>
  <c r="K27" i="3"/>
  <c r="M26" i="3"/>
  <c r="O26" i="1"/>
  <c r="P26" i="1" s="1"/>
  <c r="N27" i="1"/>
  <c r="J28" i="1"/>
  <c r="M27" i="1"/>
  <c r="O26" i="2"/>
  <c r="P26" i="2" s="1"/>
  <c r="O25" i="2"/>
  <c r="O26" i="3" l="1"/>
  <c r="P26" i="3" s="1"/>
  <c r="N27" i="3"/>
  <c r="J28" i="3"/>
  <c r="K28" i="3"/>
  <c r="M28" i="3" s="1"/>
  <c r="M27" i="3"/>
  <c r="O27" i="3" s="1"/>
  <c r="P27" i="3" s="1"/>
  <c r="O27" i="1"/>
  <c r="P27" i="1" s="1"/>
  <c r="M28" i="1"/>
  <c r="M30" i="1" s="1"/>
  <c r="N28" i="1"/>
  <c r="N30" i="1" s="1"/>
  <c r="P25" i="2"/>
  <c r="O27" i="2"/>
  <c r="P27" i="2" s="1"/>
  <c r="P30" i="1" l="1"/>
  <c r="N28" i="3"/>
  <c r="N30" i="3" s="1"/>
  <c r="D11" i="3" s="1"/>
  <c r="M30" i="3"/>
  <c r="O28" i="3"/>
  <c r="O30" i="3" s="1"/>
  <c r="O28" i="1"/>
  <c r="O30" i="1" s="1"/>
  <c r="O28" i="2"/>
  <c r="O30" i="2" s="1"/>
  <c r="P30" i="3" l="1"/>
  <c r="P28" i="3"/>
  <c r="D41" i="3"/>
  <c r="P28" i="1"/>
  <c r="D38" i="1"/>
  <c r="P28" i="2"/>
  <c r="D4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Vito Greco</author>
  </authors>
  <commentList>
    <comment ref="K3" authorId="0" shapeId="0" xr:uid="{E2CB68D3-B9D0-4798-8BDA-20ACC809A178}">
      <text>
        <r>
          <rPr>
            <sz val="9"/>
            <color indexed="81"/>
            <rFont val="Tahoma"/>
            <family val="2"/>
          </rPr>
          <t>Annual projected energy produced by the system in kilowatt hours.</t>
        </r>
      </text>
    </comment>
    <comment ref="L3" authorId="0" shapeId="0" xr:uid="{D8CA1BFA-0A0F-4314-B6C9-47F0D42965DA}">
      <text>
        <r>
          <rPr>
            <sz val="9"/>
            <color indexed="81"/>
            <rFont val="Tahoma"/>
            <family val="2"/>
          </rPr>
          <t>The customer's electricty rate, including Supply and Delivery.</t>
        </r>
      </text>
    </comment>
    <comment ref="M3" authorId="0" shapeId="0" xr:uid="{6A4D5C8C-D29D-4EAE-A92A-E5E3B87AA292}">
      <text>
        <r>
          <rPr>
            <sz val="9"/>
            <color indexed="81"/>
            <rFont val="Tahoma"/>
            <family val="2"/>
          </rPr>
          <t>The total value from the energy produced through Net Metering.</t>
        </r>
      </text>
    </comment>
    <comment ref="N3" authorId="0" shapeId="0" xr:uid="{12E82063-E1DF-4707-8CC3-A3EE8C745EF1}">
      <text>
        <r>
          <rPr>
            <sz val="9"/>
            <color indexed="81"/>
            <rFont val="Tahoma"/>
            <family val="2"/>
          </rPr>
          <t>The customer's total annual cost and fees for this contract.</t>
        </r>
      </text>
    </comment>
    <comment ref="O3" authorId="0" shapeId="0" xr:uid="{63E95DFF-90DE-4BF1-8A34-F7BE908BC4A0}">
      <text>
        <r>
          <rPr>
            <sz val="9"/>
            <color indexed="81"/>
            <rFont val="Tahoma"/>
            <family val="2"/>
          </rPr>
          <t>The customer's total annual savings in dollars (energy value less costs and fees).</t>
        </r>
      </text>
    </comment>
    <comment ref="P3" authorId="0" shapeId="0" xr:uid="{EF1656E4-63D7-462D-9300-466F3052CE99}">
      <text>
        <r>
          <rPr>
            <sz val="9"/>
            <color indexed="81"/>
            <rFont val="Tahoma"/>
            <family val="2"/>
          </rPr>
          <t>The customers total annual savings as a percent (total costs and fees divided by savings)</t>
        </r>
      </text>
    </comment>
    <comment ref="N4" authorId="0" shapeId="0" xr:uid="{F36EEE69-7413-4CD3-9B4A-878B44EEC83C}">
      <text>
        <r>
          <rPr>
            <sz val="9"/>
            <color indexed="81"/>
            <rFont val="Tahoma"/>
            <family val="2"/>
          </rPr>
          <t>First-year payments + Additional fees</t>
        </r>
      </text>
    </comment>
    <comment ref="D5" authorId="0" shapeId="0" xr:uid="{D7311504-E2A8-490C-AE26-A79B62BA554F}">
      <text>
        <r>
          <rPr>
            <sz val="9"/>
            <color indexed="81"/>
            <rFont val="Tahoma"/>
            <family val="2"/>
          </rPr>
          <t>Includes Supply and Delivery costs for DG or NP/PF. Includes only Supply for CS. Should be averaged over 12 months.</t>
        </r>
      </text>
    </comment>
    <comment ref="D15" authorId="0" shapeId="0" xr:uid="{2A617A60-B1EC-4F69-96EA-309D1547637C}">
      <text>
        <r>
          <rPr>
            <sz val="9"/>
            <color indexed="81"/>
            <rFont val="Tahoma"/>
            <family val="2"/>
          </rPr>
          <t>Always 0.5% for Illinois Solar for All.</t>
        </r>
      </text>
    </comment>
    <comment ref="D16" authorId="0" shapeId="0" xr:uid="{27050A32-3633-4C70-9318-5D259EE63BCC}">
      <text>
        <r>
          <rPr>
            <sz val="9"/>
            <color indexed="81"/>
            <rFont val="Tahoma"/>
            <family val="2"/>
          </rPr>
          <t>Can be no more than 1.7% annualy.</t>
        </r>
      </text>
    </comment>
    <comment ref="D20" authorId="0" shapeId="0" xr:uid="{9865BD1A-ECFB-42C6-B425-BA4ED7669E02}">
      <text>
        <r>
          <rPr>
            <sz val="9"/>
            <color indexed="81"/>
            <rFont val="Tahoma"/>
            <family val="2"/>
          </rPr>
          <t>Includes Supply and Delivery costs. Should be averaged over 12 months.</t>
        </r>
      </text>
    </comment>
    <comment ref="D21" authorId="0" shapeId="0" xr:uid="{7E306E07-AFF9-4674-AA7F-27B988BEAE18}">
      <text>
        <r>
          <rPr>
            <sz val="9"/>
            <color indexed="81"/>
            <rFont val="Tahoma"/>
            <family val="2"/>
          </rPr>
          <t>Can be no more than the Energy Escalation Rate used.</t>
        </r>
      </text>
    </comment>
    <comment ref="B24" authorId="0" shapeId="0" xr:uid="{ADB5B8CE-07B5-4A43-BEE3-A00398E4AEA0}">
      <text>
        <r>
          <rPr>
            <sz val="9"/>
            <color indexed="81"/>
            <rFont val="Tahoma"/>
            <family val="2"/>
          </rPr>
          <t>Customers cannot have upfront costs. But, if there are other fees outside of the payments that occur after energization, enter those here.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Vito Greco</author>
  </authors>
  <commentList>
    <comment ref="K3" authorId="0" shapeId="0" xr:uid="{DE8B4901-5401-4D35-A731-A107ED204DDC}">
      <text>
        <r>
          <rPr>
            <sz val="9"/>
            <color indexed="81"/>
            <rFont val="Tahoma"/>
            <family val="2"/>
          </rPr>
          <t>Annual projected energy produced by the system in kilowatt hours.</t>
        </r>
      </text>
    </comment>
    <comment ref="L3" authorId="0" shapeId="0" xr:uid="{34FB39F2-5860-4DCB-A76F-C51701690588}">
      <text>
        <r>
          <rPr>
            <sz val="9"/>
            <color indexed="81"/>
            <rFont val="Tahoma"/>
            <family val="2"/>
          </rPr>
          <t>The customer's electricty rate, including Supply and Delivery.</t>
        </r>
      </text>
    </comment>
    <comment ref="M3" authorId="0" shapeId="0" xr:uid="{6671FB31-9AF8-4DE2-84D4-90E9E83AC7FD}">
      <text>
        <r>
          <rPr>
            <sz val="9"/>
            <color indexed="81"/>
            <rFont val="Tahoma"/>
            <family val="2"/>
          </rPr>
          <t>The total value from the energy produced through Net Metering.</t>
        </r>
      </text>
    </comment>
    <comment ref="N3" authorId="0" shapeId="0" xr:uid="{F4106D6C-A926-4EF4-92DE-6B839E758D8E}">
      <text>
        <r>
          <rPr>
            <sz val="9"/>
            <color indexed="81"/>
            <rFont val="Tahoma"/>
            <family val="2"/>
          </rPr>
          <t>The customer's total annual cost and fees for this contract.</t>
        </r>
      </text>
    </comment>
    <comment ref="O3" authorId="0" shapeId="0" xr:uid="{9A8555EC-30E1-4A6B-92D0-B3CECB3BF99C}">
      <text>
        <r>
          <rPr>
            <sz val="9"/>
            <color indexed="81"/>
            <rFont val="Tahoma"/>
            <family val="2"/>
          </rPr>
          <t>The customer's total annual savings in dollars (energy value less costs and fees).</t>
        </r>
      </text>
    </comment>
    <comment ref="P3" authorId="0" shapeId="0" xr:uid="{16A594DB-48D6-4E12-A5AC-BDC45256120F}">
      <text>
        <r>
          <rPr>
            <sz val="9"/>
            <color indexed="81"/>
            <rFont val="Tahoma"/>
            <family val="2"/>
          </rPr>
          <t>The customers total annual savings as a percent (total costs and fees divided by savings)</t>
        </r>
      </text>
    </comment>
    <comment ref="D14" authorId="0" shapeId="0" xr:uid="{FDC1E2EE-817F-4C4F-8019-8C7D3447A92E}">
      <text>
        <r>
          <rPr>
            <sz val="9"/>
            <color indexed="81"/>
            <rFont val="Tahoma"/>
            <family val="2"/>
          </rPr>
          <t>Always 0.5% for Illinois Solar for All.</t>
        </r>
      </text>
    </comment>
    <comment ref="D15" authorId="0" shapeId="0" xr:uid="{D3D93BBD-EACA-4ECD-9A6B-566DFDF4A194}">
      <text>
        <r>
          <rPr>
            <sz val="9"/>
            <color indexed="81"/>
            <rFont val="Tahoma"/>
            <family val="2"/>
          </rPr>
          <t>Can be no more than 1.7% annualy.</t>
        </r>
      </text>
    </comment>
    <comment ref="D19" authorId="0" shapeId="0" xr:uid="{6AFC9C02-D685-4577-B94F-6C489DAC596A}">
      <text>
        <r>
          <rPr>
            <sz val="9"/>
            <color indexed="81"/>
            <rFont val="Tahoma"/>
            <family val="2"/>
          </rPr>
          <t>Includes Supply and Delivery costs. Should be averaged over 12 months.</t>
        </r>
      </text>
    </comment>
    <comment ref="D20" authorId="0" shapeId="0" xr:uid="{60A8D1D5-439A-4D18-BA77-7228FF2CFA05}">
      <text>
        <r>
          <rPr>
            <sz val="9"/>
            <color indexed="81"/>
            <rFont val="Tahoma"/>
            <family val="2"/>
          </rPr>
          <t>Can be no more than the Energy Escalation Rate used.</t>
        </r>
      </text>
    </comment>
    <comment ref="B23" authorId="0" shapeId="0" xr:uid="{A86C0532-A803-4EDB-95B2-4FA38D848142}">
      <text>
        <r>
          <rPr>
            <sz val="9"/>
            <color indexed="81"/>
            <rFont val="Tahoma"/>
            <family val="2"/>
          </rPr>
          <t>Customers cannot have upfront costs. But, if there are other fees outside of the payments that occur after energization, enter those here.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Vito Greco</author>
  </authors>
  <commentList>
    <comment ref="K3" authorId="0" shapeId="0" xr:uid="{CFEE060F-1169-4192-AD9D-4315D9AE313D}">
      <text>
        <r>
          <rPr>
            <sz val="9"/>
            <color indexed="81"/>
            <rFont val="Tahoma"/>
            <family val="2"/>
          </rPr>
          <t>Annual projected energy produced by the system in kilowatt hours.</t>
        </r>
      </text>
    </comment>
    <comment ref="L3" authorId="0" shapeId="0" xr:uid="{0616A254-D270-4712-8613-709F6BC4DD1F}">
      <text>
        <r>
          <rPr>
            <sz val="9"/>
            <color indexed="81"/>
            <rFont val="Tahoma"/>
            <family val="2"/>
          </rPr>
          <t>The customer's electricty rate, including Supply and Delivery.</t>
        </r>
      </text>
    </comment>
    <comment ref="M3" authorId="0" shapeId="0" xr:uid="{6880E286-5488-49DC-8963-0BEE724980E8}">
      <text>
        <r>
          <rPr>
            <sz val="9"/>
            <color indexed="81"/>
            <rFont val="Tahoma"/>
            <family val="2"/>
          </rPr>
          <t>The total value from the energy produced through Net Metering.</t>
        </r>
      </text>
    </comment>
    <comment ref="N3" authorId="0" shapeId="0" xr:uid="{E957F3D0-E470-45C4-8B8C-768AE15F8EA9}">
      <text>
        <r>
          <rPr>
            <sz val="9"/>
            <color indexed="81"/>
            <rFont val="Tahoma"/>
            <family val="2"/>
          </rPr>
          <t>The customer's total annual cost and fees for this contract.</t>
        </r>
      </text>
    </comment>
    <comment ref="O3" authorId="0" shapeId="0" xr:uid="{48C7D225-BCEA-455A-93FC-28218CEC2307}">
      <text>
        <r>
          <rPr>
            <sz val="9"/>
            <color indexed="81"/>
            <rFont val="Tahoma"/>
            <family val="2"/>
          </rPr>
          <t>The customer's total annual savings in dollars (energy value less costs and fees).</t>
        </r>
      </text>
    </comment>
    <comment ref="P3" authorId="0" shapeId="0" xr:uid="{AF4A0281-70BE-42B8-BEC6-57BBB32F05CA}">
      <text>
        <r>
          <rPr>
            <sz val="9"/>
            <color indexed="81"/>
            <rFont val="Tahoma"/>
            <family val="2"/>
          </rPr>
          <t>The customers total annual savings as a percent (total costs and fees divided by savings)</t>
        </r>
      </text>
    </comment>
    <comment ref="D12" authorId="0" shapeId="0" xr:uid="{5D4C55A9-C03A-4494-8F32-C1025A2D4A31}">
      <text>
        <r>
          <rPr>
            <sz val="9"/>
            <color indexed="81"/>
            <rFont val="Tahoma"/>
            <family val="2"/>
          </rPr>
          <t>Always 0.5% for Illinois Solar for All.</t>
        </r>
      </text>
    </comment>
    <comment ref="D13" authorId="0" shapeId="0" xr:uid="{4A54FB0D-BB95-42E2-A371-620FE918F0B5}">
      <text>
        <r>
          <rPr>
            <sz val="9"/>
            <color indexed="81"/>
            <rFont val="Tahoma"/>
            <family val="2"/>
          </rPr>
          <t>Can be no more than 1.7% annualy.</t>
        </r>
      </text>
    </comment>
    <comment ref="D14" authorId="0" shapeId="0" xr:uid="{D9DA1146-B852-4649-B28E-2E47861E7CB2}">
      <text>
        <r>
          <rPr>
            <sz val="9"/>
            <color indexed="81"/>
            <rFont val="Tahoma"/>
            <family val="2"/>
          </rPr>
          <t>Always life of system for System Purchaseor 25 years</t>
        </r>
      </text>
    </comment>
    <comment ref="D17" authorId="0" shapeId="0" xr:uid="{18EACCF0-1C6F-487A-8121-A0960138F26D}">
      <text>
        <r>
          <rPr>
            <sz val="9"/>
            <color indexed="81"/>
            <rFont val="Tahoma"/>
            <family val="2"/>
          </rPr>
          <t>Includes Supply and Delivery costs. Should be averaged over 12 months.</t>
        </r>
      </text>
    </comment>
    <comment ref="D18" authorId="0" shapeId="0" xr:uid="{5C9F0BBD-DC7E-4078-BBF2-542FDACD5B66}">
      <text>
        <r>
          <rPr>
            <sz val="9"/>
            <color indexed="81"/>
            <rFont val="Tahoma"/>
            <family val="2"/>
          </rPr>
          <t>Can be no more than the Energy Escalation Rate used.</t>
        </r>
      </text>
    </comment>
    <comment ref="B21" authorId="0" shapeId="0" xr:uid="{E80990FE-5B1A-4FCB-9D0B-585A2E5ADD43}">
      <text>
        <r>
          <rPr>
            <sz val="9"/>
            <color indexed="81"/>
            <rFont val="Tahoma"/>
            <family val="2"/>
          </rPr>
          <t>Customers cannot have upfront costs. But, if there are other fees outside of the payments that occur after energization, enter those here.</t>
        </r>
      </text>
    </comment>
  </commentList>
</comments>
</file>

<file path=xl/sharedStrings.xml><?xml version="1.0" encoding="utf-8"?>
<sst xmlns="http://schemas.openxmlformats.org/spreadsheetml/2006/main" count="178" uniqueCount="54">
  <si>
    <t>Customer Savings $</t>
  </si>
  <si>
    <t>Customer Savings %</t>
  </si>
  <si>
    <t>Year</t>
  </si>
  <si>
    <t>COSTS AND FEES</t>
  </si>
  <si>
    <t>What is the frequency of payments?</t>
  </si>
  <si>
    <t>Monthly</t>
  </si>
  <si>
    <t>Quarterly</t>
  </si>
  <si>
    <t>What is the annual rate of energy escalation assumed?</t>
  </si>
  <si>
    <t>ENERGY ASSUMPTIONS</t>
  </si>
  <si>
    <t>What is first-year projected energy production?</t>
  </si>
  <si>
    <t>How many payments over the term of the lease?</t>
  </si>
  <si>
    <t>LEASE TERMS</t>
  </si>
  <si>
    <t>What is the cost of the system buy-out?</t>
  </si>
  <si>
    <t>Customer payment escalation, if any?</t>
  </si>
  <si>
    <t>Yes</t>
  </si>
  <si>
    <t>No</t>
  </si>
  <si>
    <t>Option to buy the system at the end of the term?</t>
  </si>
  <si>
    <t>What is the average customer electricity rate per kWh?</t>
  </si>
  <si>
    <t>The system degradation is always 0.5%</t>
  </si>
  <si>
    <t>Customer payments</t>
  </si>
  <si>
    <t>Customer Energy rate</t>
  </si>
  <si>
    <t>Customer Energy value</t>
  </si>
  <si>
    <t>Contract term in years</t>
  </si>
  <si>
    <t>Term of Energy Value</t>
  </si>
  <si>
    <t>`</t>
  </si>
  <si>
    <t>First Year Savings Percent</t>
  </si>
  <si>
    <t>Illinois Solar for All Savings Callculator</t>
  </si>
  <si>
    <t>Energy Prod. kWh</t>
  </si>
  <si>
    <t>How many payments over the term of the loan?</t>
  </si>
  <si>
    <t>What is the customer's cost per kilowatt hour?</t>
  </si>
  <si>
    <t>How many payments over the term of the contract?</t>
  </si>
  <si>
    <t>PPA TERMS</t>
  </si>
  <si>
    <t>What is the customer's loan payment amount?</t>
  </si>
  <si>
    <t>What is the customer's lease payment amount?</t>
  </si>
  <si>
    <t>Term of Lease Savings Percent</t>
  </si>
  <si>
    <t>What are the customer's total first year fees in addition to payments?</t>
  </si>
  <si>
    <r>
      <t xml:space="preserve">Power Purchase Agreement: </t>
    </r>
    <r>
      <rPr>
        <b/>
        <sz val="14"/>
        <color theme="4" tint="-0.249977111117893"/>
        <rFont val="Calibri"/>
        <family val="2"/>
        <scheme val="minor"/>
      </rPr>
      <t>PPA</t>
    </r>
  </si>
  <si>
    <t>Lease</t>
  </si>
  <si>
    <t>System Purchase</t>
  </si>
  <si>
    <t>Document Preparation Fees</t>
  </si>
  <si>
    <t>Automated Clearinghouse Fees</t>
  </si>
  <si>
    <t>TOTAL ADDITIONAL FEES (outside of payment)</t>
  </si>
  <si>
    <t>Intenet Non-connection Fees</t>
  </si>
  <si>
    <t>Additional Fees:</t>
  </si>
  <si>
    <t xml:space="preserve">This Fee is included in the payment? </t>
  </si>
  <si>
    <t>Fee Amount:</t>
  </si>
  <si>
    <t>Customer Pays This Fee?</t>
  </si>
  <si>
    <t>UCC-1 Filing Fees</t>
  </si>
  <si>
    <t>Other Fee 1 (Specify)</t>
  </si>
  <si>
    <t>Other Fee 2 (Specify)</t>
  </si>
  <si>
    <t>Other Fee 3 (Specify)</t>
  </si>
  <si>
    <t>SAVINGS</t>
  </si>
  <si>
    <t>LOAN TERMS</t>
  </si>
  <si>
    <t>Average Monthly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</si>
</sst>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&quot;$&quot;#,##0.00"/>
    <numFmt numFmtId="166" formatCode="&quot;$&quot;#,##0.0000"/>
  </numFmts>
  <fonts count="8" x14ac:knownFonts="1"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1"/>
      <name val="Consolas"/>
      <family val="3"/>
    </font>
    <font>
      <b/>
      <sz val="11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4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0" fillId="0" borderId="0" xfId="0" applyAlignment="1">
      <alignment horizontal="left" indent="1"/>
    </xf>
    <xf numFmtId="0" fontId="2" fillId="0" borderId="0" xfId="0" applyFont="1" applyAlignment="1">
      <alignment wrapText="1"/>
    </xf>
    <xf numFmtId="1" fontId="0" fillId="3" borderId="9" xfId="0" applyNumberForma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5" fontId="0" fillId="0" borderId="0" xfId="0" applyNumberFormat="1"/>
    <xf numFmtId="0" fontId="3" fillId="0" borderId="0" xfId="0" applyFont="1" applyAlignment="1">
      <alignment wrapText="1"/>
    </xf>
    <xf numFmtId="164" fontId="3" fillId="0" borderId="9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166" fontId="0" fillId="0" borderId="0" xfId="0" applyNumberFormat="1"/>
    <xf numFmtId="166" fontId="0" fillId="3" borderId="9" xfId="0" applyNumberFormat="1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65" fontId="0" fillId="3" borderId="9" xfId="0" applyNumberFormat="1" applyFill="1" applyBorder="1" applyAlignment="1" applyProtection="1">
      <alignment horizontal="center"/>
      <protection locked="0"/>
    </xf>
    <xf numFmtId="3" fontId="0" fillId="3" borderId="9" xfId="0" applyNumberFormat="1" applyFill="1" applyBorder="1" applyAlignment="1" applyProtection="1">
      <alignment horizontal="center"/>
      <protection locked="0"/>
    </xf>
    <xf numFmtId="164" fontId="0" fillId="3" borderId="9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 applyAlignment="1">
      <alignment wrapText="1"/>
    </xf>
    <xf numFmtId="0" fontId="0" fillId="0" borderId="0" xfId="0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left" wrapText="1" indent="1"/>
    </xf>
    <xf numFmtId="1" fontId="0" fillId="3" borderId="9" xfId="0" applyNumberFormat="1" applyFill="1" applyBorder="1" applyAlignment="1" applyProtection="1">
      <alignment horizontal="left"/>
      <protection locked="0"/>
    </xf>
    <xf numFmtId="0" fontId="7" fillId="0" borderId="0" xfId="0" applyFont="1"/>
    <xf numFmtId="165" fontId="7" fillId="3" borderId="9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Normal" xfId="0" builtinId="0"/>
  </cellStyles>
  <dxfs count="14">
    <dxf>
      <fill>
        <patternFill>
          <bgColor theme="9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rgb="FFFFCCFF"/>
        </patternFill>
      </fill>
    </dxf>
    <dxf>
      <fill>
        <patternFill>
          <bgColor theme="9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rgb="FFFFCCFF"/>
        </patternFill>
      </fill>
    </dxf>
    <dxf>
      <fill>
        <patternFill>
          <bgColor theme="9" tint="0.59996337778862885"/>
        </patternFill>
      </fill>
    </dxf>
    <dxf>
      <fill>
        <patternFill>
          <bgColor rgb="FFFFCCFF"/>
        </patternFill>
      </fill>
    </dxf>
    <dxf>
      <fill>
        <patternFill>
          <bgColor theme="9" tint="0.59996337778862885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89C72-8037-4F79-90A2-8D6442793CB9}">
  <dimension ref="B1:U185"/>
  <sheetViews>
    <sheetView zoomScale="90" zoomScaleNormal="90" workbookViewId="0">
      <selection activeCell="R4" sqref="R4"/>
    </sheetView>
  </sheetViews>
  <sheetFormatPr defaultRowHeight="15" x14ac:dyDescent="0.25"/>
  <cols>
    <col min="1" max="1" width="3.28515625" customWidth="1"/>
    <col min="2" max="2" width="59.140625" style="1" customWidth="1"/>
    <col min="3" max="3" width="3.7109375" style="16" customWidth="1"/>
    <col min="4" max="4" width="16.85546875" style="2" customWidth="1"/>
    <col min="5" max="5" width="3.7109375" style="16" customWidth="1"/>
    <col min="6" max="6" width="18.140625" style="16" customWidth="1"/>
    <col min="7" max="7" width="3.7109375" style="16" customWidth="1"/>
    <col min="8" max="8" width="14.7109375" style="16" customWidth="1"/>
    <col min="9" max="9" width="3.7109375" style="16" customWidth="1"/>
    <col min="12" max="12" width="9.85546875" customWidth="1"/>
    <col min="13" max="13" width="12.28515625" customWidth="1"/>
    <col min="14" max="14" width="12" customWidth="1"/>
    <col min="15" max="15" width="15.42578125" customWidth="1"/>
    <col min="18" max="18" width="9.5703125" bestFit="1" customWidth="1"/>
  </cols>
  <sheetData>
    <row r="1" spans="2:18" ht="18.75" x14ac:dyDescent="0.3">
      <c r="B1" s="23" t="s">
        <v>26</v>
      </c>
    </row>
    <row r="2" spans="2:18" ht="19.5" thickBot="1" x14ac:dyDescent="0.35">
      <c r="B2" s="23" t="s">
        <v>36</v>
      </c>
    </row>
    <row r="3" spans="2:18" ht="45" x14ac:dyDescent="0.25">
      <c r="J3" s="3" t="s">
        <v>2</v>
      </c>
      <c r="K3" s="4" t="s">
        <v>27</v>
      </c>
      <c r="L3" s="4" t="s">
        <v>20</v>
      </c>
      <c r="M3" s="4" t="s">
        <v>21</v>
      </c>
      <c r="N3" s="4" t="s">
        <v>19</v>
      </c>
      <c r="O3" s="5" t="s">
        <v>0</v>
      </c>
      <c r="P3" s="6" t="s">
        <v>1</v>
      </c>
    </row>
    <row r="4" spans="2:18" ht="15.75" thickBot="1" x14ac:dyDescent="0.3">
      <c r="B4" s="17" t="s">
        <v>31</v>
      </c>
      <c r="J4" s="7">
        <v>1</v>
      </c>
      <c r="K4" s="8">
        <f>D14</f>
        <v>6150</v>
      </c>
      <c r="L4" s="9">
        <f>D20</f>
        <v>0.12479999999999999</v>
      </c>
      <c r="M4" s="10">
        <f t="shared" ref="M4:M15" si="0">IF(J4&lt;=$D$17,K4*L4,0)</f>
        <v>767.52</v>
      </c>
      <c r="N4" s="10">
        <f>IF(J4&lt;=D10,K4*$D$5,0)+D36</f>
        <v>369</v>
      </c>
      <c r="O4" s="10">
        <f t="shared" ref="O4:O28" si="1">M4-N4</f>
        <v>398.52</v>
      </c>
      <c r="P4" s="11">
        <f t="shared" ref="P4:P28" si="2">O4/M4</f>
        <v>0.51923076923076927</v>
      </c>
      <c r="R4" s="24"/>
    </row>
    <row r="5" spans="2:18" ht="15.75" thickBot="1" x14ac:dyDescent="0.3">
      <c r="B5" s="1" t="s">
        <v>29</v>
      </c>
      <c r="D5" s="25">
        <v>0.06</v>
      </c>
      <c r="J5" s="7">
        <f>J4+1</f>
        <v>2</v>
      </c>
      <c r="K5" s="8">
        <f>K4-(K4*$D$15)</f>
        <v>6119.25</v>
      </c>
      <c r="L5" s="9">
        <f>L4+(L4*$D$16)</f>
        <v>0.1269216</v>
      </c>
      <c r="M5" s="10">
        <f t="shared" si="0"/>
        <v>776.66500079999992</v>
      </c>
      <c r="N5" s="10">
        <f>IF(J5&lt;=$D$10,(K5*$D$5)*(1+$D$21))</f>
        <v>370.82655</v>
      </c>
      <c r="O5" s="10">
        <f t="shared" si="1"/>
        <v>405.83845079999992</v>
      </c>
      <c r="P5" s="11">
        <f t="shared" si="2"/>
        <v>0.52253989864609329</v>
      </c>
      <c r="R5" s="20"/>
    </row>
    <row r="6" spans="2:18" ht="15.75" thickBot="1" x14ac:dyDescent="0.3">
      <c r="B6" s="1" t="s">
        <v>4</v>
      </c>
      <c r="D6" s="26" t="s">
        <v>5</v>
      </c>
      <c r="J6" s="7">
        <f t="shared" ref="J6:J23" si="3">J5+1</f>
        <v>3</v>
      </c>
      <c r="K6" s="8">
        <f t="shared" ref="K6:K23" si="4">K5-(K5*$D$15)</f>
        <v>6088.6537500000004</v>
      </c>
      <c r="L6" s="9">
        <f t="shared" ref="L6:L23" si="5">L5+(L5*$D$16)</f>
        <v>0.12907926719999999</v>
      </c>
      <c r="M6" s="10">
        <f t="shared" si="0"/>
        <v>785.91896428453197</v>
      </c>
      <c r="N6" s="10">
        <f t="shared" ref="N6:N28" si="6">IF(J6&lt;=$D$10,(K6*$D$5)*(1+$D$21),0)</f>
        <v>368.97241725000003</v>
      </c>
      <c r="O6" s="10">
        <f t="shared" si="1"/>
        <v>416.94654703453193</v>
      </c>
      <c r="P6" s="11">
        <f t="shared" si="2"/>
        <v>0.53052104094994423</v>
      </c>
    </row>
    <row r="7" spans="2:18" ht="15.75" thickBot="1" x14ac:dyDescent="0.3">
      <c r="B7" s="1" t="s">
        <v>30</v>
      </c>
      <c r="D7" s="27">
        <v>180</v>
      </c>
      <c r="J7" s="7">
        <f t="shared" si="3"/>
        <v>4</v>
      </c>
      <c r="K7" s="8">
        <f t="shared" si="4"/>
        <v>6058.2104812500002</v>
      </c>
      <c r="L7" s="9">
        <f t="shared" si="5"/>
        <v>0.13127361474239999</v>
      </c>
      <c r="M7" s="10">
        <f t="shared" si="0"/>
        <v>795.28318874398212</v>
      </c>
      <c r="N7" s="10">
        <f t="shared" si="6"/>
        <v>367.12755516375</v>
      </c>
      <c r="O7" s="10">
        <f t="shared" si="1"/>
        <v>428.15563358023212</v>
      </c>
      <c r="P7" s="11">
        <f t="shared" si="2"/>
        <v>0.53836877182885368</v>
      </c>
    </row>
    <row r="8" spans="2:18" ht="15.75" thickBot="1" x14ac:dyDescent="0.3">
      <c r="B8" s="1" t="s">
        <v>16</v>
      </c>
      <c r="D8" s="26" t="s">
        <v>14</v>
      </c>
      <c r="J8" s="7">
        <f t="shared" si="3"/>
        <v>5</v>
      </c>
      <c r="K8" s="8">
        <f t="shared" si="4"/>
        <v>6027.9194288437502</v>
      </c>
      <c r="L8" s="9">
        <f t="shared" si="5"/>
        <v>0.13350526619302078</v>
      </c>
      <c r="M8" s="10">
        <f t="shared" si="0"/>
        <v>804.75898793786666</v>
      </c>
      <c r="N8" s="10">
        <f t="shared" si="6"/>
        <v>365.29191738793128</v>
      </c>
      <c r="O8" s="10">
        <f t="shared" si="1"/>
        <v>439.46707054993539</v>
      </c>
      <c r="P8" s="11">
        <f t="shared" si="2"/>
        <v>0.54608532136563781</v>
      </c>
    </row>
    <row r="9" spans="2:18" ht="15.75" thickBot="1" x14ac:dyDescent="0.3">
      <c r="B9" s="1" t="s">
        <v>12</v>
      </c>
      <c r="D9" s="28">
        <v>1</v>
      </c>
      <c r="J9" s="7">
        <f t="shared" si="3"/>
        <v>6</v>
      </c>
      <c r="K9" s="8">
        <f t="shared" si="4"/>
        <v>5997.7798316995313</v>
      </c>
      <c r="L9" s="9">
        <f t="shared" si="5"/>
        <v>0.13577485571830214</v>
      </c>
      <c r="M9" s="10">
        <f t="shared" si="0"/>
        <v>814.34769127914637</v>
      </c>
      <c r="N9" s="10">
        <f t="shared" si="6"/>
        <v>363.4654578009916</v>
      </c>
      <c r="O9" s="10">
        <f t="shared" si="1"/>
        <v>450.88223347815477</v>
      </c>
      <c r="P9" s="11">
        <f t="shared" si="2"/>
        <v>0.55367288236542567</v>
      </c>
    </row>
    <row r="10" spans="2:18" ht="15.75" thickBot="1" x14ac:dyDescent="0.3">
      <c r="B10" s="1" t="s">
        <v>22</v>
      </c>
      <c r="D10" s="18">
        <f>IF(D6="Monthly",D7/12,D7/3)</f>
        <v>15</v>
      </c>
      <c r="J10" s="7">
        <f t="shared" si="3"/>
        <v>7</v>
      </c>
      <c r="K10" s="8">
        <f t="shared" si="4"/>
        <v>5967.7909325410337</v>
      </c>
      <c r="L10" s="9">
        <f t="shared" si="5"/>
        <v>0.13808302826551327</v>
      </c>
      <c r="M10" s="10">
        <f t="shared" si="0"/>
        <v>824.05064402073742</v>
      </c>
      <c r="N10" s="10">
        <f t="shared" si="6"/>
        <v>361.64813051198661</v>
      </c>
      <c r="O10" s="10">
        <f t="shared" si="1"/>
        <v>462.40251350875081</v>
      </c>
      <c r="P10" s="11">
        <f t="shared" si="2"/>
        <v>0.56113361097878633</v>
      </c>
    </row>
    <row r="11" spans="2:18" ht="15.75" thickBot="1" x14ac:dyDescent="0.3">
      <c r="B11" s="1" t="s">
        <v>53</v>
      </c>
      <c r="D11" s="28">
        <f>N30/D10/12</f>
        <v>29.978745567885969</v>
      </c>
      <c r="J11" s="7">
        <f t="shared" si="3"/>
        <v>8</v>
      </c>
      <c r="K11" s="8">
        <f t="shared" si="4"/>
        <v>5937.9519778783288</v>
      </c>
      <c r="L11" s="9">
        <f t="shared" si="5"/>
        <v>0.14043043974602701</v>
      </c>
      <c r="M11" s="10">
        <f t="shared" si="0"/>
        <v>833.86920744424458</v>
      </c>
      <c r="N11" s="10">
        <f t="shared" si="6"/>
        <v>359.83988985942671</v>
      </c>
      <c r="O11" s="10">
        <f t="shared" si="1"/>
        <v>474.02931758481787</v>
      </c>
      <c r="P11" s="11">
        <f t="shared" si="2"/>
        <v>0.56846962731444084</v>
      </c>
    </row>
    <row r="12" spans="2:18" x14ac:dyDescent="0.25">
      <c r="J12" s="7">
        <f t="shared" si="3"/>
        <v>9</v>
      </c>
      <c r="K12" s="8">
        <f t="shared" si="4"/>
        <v>5908.2622179889368</v>
      </c>
      <c r="L12" s="9">
        <f t="shared" si="5"/>
        <v>0.14281775722170947</v>
      </c>
      <c r="M12" s="10">
        <f t="shared" si="0"/>
        <v>843.80475905094272</v>
      </c>
      <c r="N12" s="10">
        <f t="shared" si="6"/>
        <v>358.04069041012957</v>
      </c>
      <c r="O12" s="10">
        <f t="shared" si="1"/>
        <v>485.76406864081315</v>
      </c>
      <c r="P12" s="11">
        <f t="shared" si="2"/>
        <v>0.57568301604173144</v>
      </c>
    </row>
    <row r="13" spans="2:18" ht="15.75" thickBot="1" x14ac:dyDescent="0.3">
      <c r="B13" s="17" t="s">
        <v>8</v>
      </c>
      <c r="J13" s="7">
        <f t="shared" si="3"/>
        <v>10</v>
      </c>
      <c r="K13" s="8">
        <f t="shared" si="4"/>
        <v>5878.7209068989923</v>
      </c>
      <c r="L13" s="9">
        <f t="shared" si="5"/>
        <v>0.14524565909447854</v>
      </c>
      <c r="M13" s="10">
        <f t="shared" si="0"/>
        <v>853.85869275503478</v>
      </c>
      <c r="N13" s="10">
        <f t="shared" si="6"/>
        <v>356.25048695807891</v>
      </c>
      <c r="O13" s="10">
        <f t="shared" si="1"/>
        <v>497.60820579695587</v>
      </c>
      <c r="P13" s="11">
        <f t="shared" si="2"/>
        <v>0.58277582698302011</v>
      </c>
    </row>
    <row r="14" spans="2:18" ht="15.75" thickBot="1" x14ac:dyDescent="0.3">
      <c r="B14" s="1" t="s">
        <v>9</v>
      </c>
      <c r="D14" s="29">
        <v>6150</v>
      </c>
      <c r="J14" s="7">
        <f t="shared" si="3"/>
        <v>11</v>
      </c>
      <c r="K14" s="8">
        <f t="shared" si="4"/>
        <v>5849.327302364497</v>
      </c>
      <c r="L14" s="9">
        <f t="shared" si="5"/>
        <v>0.14771483529908466</v>
      </c>
      <c r="M14" s="10">
        <f t="shared" si="0"/>
        <v>864.03241907921085</v>
      </c>
      <c r="N14" s="10">
        <f t="shared" si="6"/>
        <v>354.46923452328849</v>
      </c>
      <c r="O14" s="10">
        <f t="shared" si="1"/>
        <v>509.56318455592236</v>
      </c>
      <c r="P14" s="11">
        <f t="shared" si="2"/>
        <v>0.58975007569618487</v>
      </c>
    </row>
    <row r="15" spans="2:18" ht="15.75" thickBot="1" x14ac:dyDescent="0.3">
      <c r="B15" s="1" t="s">
        <v>18</v>
      </c>
      <c r="D15" s="19">
        <v>5.0000000000000001E-3</v>
      </c>
      <c r="J15" s="7">
        <f t="shared" si="3"/>
        <v>12</v>
      </c>
      <c r="K15" s="8">
        <f t="shared" si="4"/>
        <v>5820.0806658526744</v>
      </c>
      <c r="L15" s="9">
        <f t="shared" si="5"/>
        <v>0.1502259874991691</v>
      </c>
      <c r="M15" s="10">
        <f t="shared" si="0"/>
        <v>874.32736535253969</v>
      </c>
      <c r="N15" s="10">
        <f t="shared" si="6"/>
        <v>352.69688835067205</v>
      </c>
      <c r="O15" s="10">
        <f t="shared" si="1"/>
        <v>521.63047700186758</v>
      </c>
      <c r="P15" s="11">
        <f t="shared" si="2"/>
        <v>0.59660774404737937</v>
      </c>
    </row>
    <row r="16" spans="2:18" ht="15.75" thickBot="1" x14ac:dyDescent="0.3">
      <c r="B16" s="1" t="s">
        <v>7</v>
      </c>
      <c r="D16" s="30">
        <v>1.7000000000000001E-2</v>
      </c>
      <c r="J16" s="7">
        <f>J15+1</f>
        <v>13</v>
      </c>
      <c r="K16" s="8">
        <f>K15-(K15*$D$15)</f>
        <v>5790.9802625234115</v>
      </c>
      <c r="L16" s="9">
        <f>L15+(L15*$D$16)</f>
        <v>0.15277982928665498</v>
      </c>
      <c r="M16" s="10">
        <f t="shared" ref="M16:M28" si="7">IF(J16&lt;=$D$17,K16*L16,0)</f>
        <v>884.74497591071531</v>
      </c>
      <c r="N16" s="10">
        <f t="shared" si="6"/>
        <v>350.93340390891876</v>
      </c>
      <c r="O16" s="10">
        <f t="shared" si="1"/>
        <v>533.81157200179655</v>
      </c>
      <c r="P16" s="11">
        <f t="shared" si="2"/>
        <v>0.60335078077421778</v>
      </c>
    </row>
    <row r="17" spans="2:21" ht="15.75" thickBot="1" x14ac:dyDescent="0.3">
      <c r="B17" s="1" t="s">
        <v>23</v>
      </c>
      <c r="D17" s="18">
        <f>IF(D8="No",D10,25)</f>
        <v>25</v>
      </c>
      <c r="J17" s="7">
        <f t="shared" si="3"/>
        <v>14</v>
      </c>
      <c r="K17" s="8">
        <f t="shared" si="4"/>
        <v>5762.0253612107945</v>
      </c>
      <c r="L17" s="9">
        <f t="shared" si="5"/>
        <v>0.15537708638452813</v>
      </c>
      <c r="M17" s="10">
        <f t="shared" si="7"/>
        <v>895.28671229869155</v>
      </c>
      <c r="N17" s="10">
        <f t="shared" si="6"/>
        <v>349.17873688937414</v>
      </c>
      <c r="O17" s="10">
        <f t="shared" si="1"/>
        <v>546.10797540931742</v>
      </c>
      <c r="P17" s="11">
        <f t="shared" si="2"/>
        <v>0.60998110203954559</v>
      </c>
    </row>
    <row r="18" spans="2:21" x14ac:dyDescent="0.25">
      <c r="J18" s="7">
        <f t="shared" si="3"/>
        <v>15</v>
      </c>
      <c r="K18" s="8">
        <f t="shared" si="4"/>
        <v>5733.2152344047408</v>
      </c>
      <c r="L18" s="9">
        <f t="shared" si="5"/>
        <v>0.1580184968530651</v>
      </c>
      <c r="M18" s="10">
        <f t="shared" si="7"/>
        <v>905.95405347573046</v>
      </c>
      <c r="N18" s="10">
        <f t="shared" si="6"/>
        <v>347.43284320492728</v>
      </c>
      <c r="O18" s="10">
        <f t="shared" si="1"/>
        <v>558.52121027080318</v>
      </c>
      <c r="P18" s="11">
        <f t="shared" si="2"/>
        <v>0.6165005919759543</v>
      </c>
    </row>
    <row r="19" spans="2:21" ht="15.75" thickBot="1" x14ac:dyDescent="0.3">
      <c r="B19" s="17" t="s">
        <v>3</v>
      </c>
      <c r="J19" s="7">
        <f>J18+1</f>
        <v>16</v>
      </c>
      <c r="K19" s="8">
        <f t="shared" si="4"/>
        <v>5704.5491582327168</v>
      </c>
      <c r="L19" s="9">
        <f t="shared" si="5"/>
        <v>0.16070481129956721</v>
      </c>
      <c r="M19" s="10">
        <f t="shared" si="7"/>
        <v>916.74849602289373</v>
      </c>
      <c r="N19" s="10">
        <f t="shared" si="6"/>
        <v>0</v>
      </c>
      <c r="O19" s="10">
        <f t="shared" si="1"/>
        <v>916.74849602289373</v>
      </c>
      <c r="P19" s="11">
        <f t="shared" si="2"/>
        <v>1</v>
      </c>
      <c r="U19" t="s">
        <v>24</v>
      </c>
    </row>
    <row r="20" spans="2:21" ht="15.75" thickBot="1" x14ac:dyDescent="0.3">
      <c r="B20" s="1" t="s">
        <v>17</v>
      </c>
      <c r="D20" s="25">
        <v>0.12479999999999999</v>
      </c>
      <c r="J20" s="7">
        <f>J19+1</f>
        <v>17</v>
      </c>
      <c r="K20" s="8">
        <f>K19-(K19*$D$15)</f>
        <v>5676.0264124415535</v>
      </c>
      <c r="L20" s="9">
        <f>L19+(L19*$D$16)</f>
        <v>0.16343679309165984</v>
      </c>
      <c r="M20" s="10">
        <f>IF(J20&lt;=$D$17,K20*L20,0)</f>
        <v>927.67155435300651</v>
      </c>
      <c r="N20" s="10">
        <f t="shared" si="6"/>
        <v>0</v>
      </c>
      <c r="O20" s="10">
        <f>M20-N20</f>
        <v>927.67155435300651</v>
      </c>
      <c r="P20" s="11">
        <f>O20/M20</f>
        <v>1</v>
      </c>
    </row>
    <row r="21" spans="2:21" ht="15.75" thickBot="1" x14ac:dyDescent="0.3">
      <c r="B21" s="1" t="s">
        <v>13</v>
      </c>
      <c r="D21" s="30">
        <v>0.01</v>
      </c>
      <c r="J21" s="7">
        <f>J20+1</f>
        <v>18</v>
      </c>
      <c r="K21" s="8">
        <f>K20-(K20*$D$15)</f>
        <v>5647.6462803793456</v>
      </c>
      <c r="L21" s="9">
        <f>L20+(L20*$D$16)</f>
        <v>0.16621521857421806</v>
      </c>
      <c r="M21" s="10">
        <f t="shared" si="7"/>
        <v>938.72476092312252</v>
      </c>
      <c r="N21" s="10">
        <f t="shared" si="6"/>
        <v>0</v>
      </c>
      <c r="O21" s="10">
        <f t="shared" si="1"/>
        <v>938.72476092312252</v>
      </c>
      <c r="P21" s="11">
        <f t="shared" si="2"/>
        <v>1</v>
      </c>
    </row>
    <row r="22" spans="2:21" x14ac:dyDescent="0.25">
      <c r="D22" s="1"/>
      <c r="J22" s="7">
        <f>J21+1</f>
        <v>19</v>
      </c>
      <c r="K22" s="8">
        <f>K21-(K21*$D$15)</f>
        <v>5619.4080489774487</v>
      </c>
      <c r="L22" s="9">
        <f>L21+(L21*$D$16)</f>
        <v>0.16904087728997977</v>
      </c>
      <c r="M22" s="10">
        <f t="shared" si="7"/>
        <v>949.90966644952152</v>
      </c>
      <c r="N22" s="10">
        <f t="shared" si="6"/>
        <v>0</v>
      </c>
      <c r="O22" s="10">
        <f t="shared" si="1"/>
        <v>949.90966644952152</v>
      </c>
      <c r="P22" s="11">
        <f t="shared" si="2"/>
        <v>1</v>
      </c>
    </row>
    <row r="23" spans="2:21" x14ac:dyDescent="0.25">
      <c r="D23" s="42" t="s">
        <v>46</v>
      </c>
      <c r="F23" s="42" t="s">
        <v>44</v>
      </c>
      <c r="H23" s="2"/>
      <c r="J23" s="7">
        <f t="shared" si="3"/>
        <v>20</v>
      </c>
      <c r="K23" s="8">
        <f t="shared" si="4"/>
        <v>5591.3110087325613</v>
      </c>
      <c r="L23" s="9">
        <f t="shared" si="5"/>
        <v>0.17191457220390943</v>
      </c>
      <c r="M23" s="10">
        <f t="shared" si="7"/>
        <v>961.22784012526756</v>
      </c>
      <c r="N23" s="10">
        <f t="shared" si="6"/>
        <v>0</v>
      </c>
      <c r="O23" s="10">
        <f t="shared" si="1"/>
        <v>961.22784012526756</v>
      </c>
      <c r="P23" s="11">
        <f t="shared" si="2"/>
        <v>1</v>
      </c>
    </row>
    <row r="24" spans="2:21" ht="15.75" thickBot="1" x14ac:dyDescent="0.3">
      <c r="B24" s="34" t="s">
        <v>43</v>
      </c>
      <c r="C24" s="38"/>
      <c r="D24" s="43"/>
      <c r="E24" s="32"/>
      <c r="F24" s="43"/>
      <c r="G24" s="33"/>
      <c r="H24" s="2" t="s">
        <v>45</v>
      </c>
      <c r="J24" s="7">
        <f>J23+1</f>
        <v>21</v>
      </c>
      <c r="K24" s="8">
        <f>K23-(K23*$D$15)</f>
        <v>5563.3544536888985</v>
      </c>
      <c r="L24" s="9">
        <f>L23+(L23*$D$16)</f>
        <v>0.17483711993137591</v>
      </c>
      <c r="M24" s="10">
        <f t="shared" si="7"/>
        <v>972.68086984036029</v>
      </c>
      <c r="N24" s="10">
        <f t="shared" si="6"/>
        <v>0</v>
      </c>
      <c r="O24" s="10">
        <f t="shared" si="1"/>
        <v>972.68086984036029</v>
      </c>
      <c r="P24" s="11">
        <f t="shared" si="2"/>
        <v>1</v>
      </c>
    </row>
    <row r="25" spans="2:21" ht="15.75" thickBot="1" x14ac:dyDescent="0.3">
      <c r="B25" t="s">
        <v>39</v>
      </c>
      <c r="C25" s="38"/>
      <c r="D25" s="26" t="s">
        <v>15</v>
      </c>
      <c r="F25" s="26" t="s">
        <v>15</v>
      </c>
      <c r="H25" s="28">
        <v>0</v>
      </c>
      <c r="J25" s="7">
        <f>J24+1</f>
        <v>22</v>
      </c>
      <c r="K25" s="8">
        <f>K24-(K24*$D$15)</f>
        <v>5535.5376814204537</v>
      </c>
      <c r="L25" s="9">
        <f>L24+(L24*$D$16)</f>
        <v>0.17780935097020931</v>
      </c>
      <c r="M25" s="10">
        <f t="shared" si="7"/>
        <v>984.27036240450809</v>
      </c>
      <c r="N25" s="10">
        <f t="shared" si="6"/>
        <v>0</v>
      </c>
      <c r="O25" s="10">
        <f t="shared" si="1"/>
        <v>984.27036240450809</v>
      </c>
      <c r="P25" s="11">
        <f t="shared" si="2"/>
        <v>1</v>
      </c>
    </row>
    <row r="26" spans="2:21" ht="15.75" thickBot="1" x14ac:dyDescent="0.3">
      <c r="B26" t="s">
        <v>42</v>
      </c>
      <c r="D26" s="26" t="s">
        <v>15</v>
      </c>
      <c r="F26" s="26" t="s">
        <v>15</v>
      </c>
      <c r="H26" s="28">
        <v>0</v>
      </c>
      <c r="J26" s="7">
        <f>J25+1</f>
        <v>23</v>
      </c>
      <c r="K26" s="8">
        <f>K25-(K25*$D$15)</f>
        <v>5507.8599930133514</v>
      </c>
      <c r="L26" s="9">
        <f>L25+(L25*$D$16)</f>
        <v>0.18083210993670287</v>
      </c>
      <c r="M26" s="10">
        <f t="shared" si="7"/>
        <v>995.99794377255785</v>
      </c>
      <c r="N26" s="10">
        <f t="shared" si="6"/>
        <v>0</v>
      </c>
      <c r="O26" s="10">
        <f t="shared" si="1"/>
        <v>995.99794377255785</v>
      </c>
      <c r="P26" s="11">
        <f t="shared" si="2"/>
        <v>1</v>
      </c>
    </row>
    <row r="27" spans="2:21" ht="15.75" thickBot="1" x14ac:dyDescent="0.3">
      <c r="B27" t="s">
        <v>40</v>
      </c>
      <c r="D27" s="26" t="s">
        <v>14</v>
      </c>
      <c r="F27" s="26" t="s">
        <v>14</v>
      </c>
      <c r="H27" s="28">
        <v>100</v>
      </c>
      <c r="J27" s="7">
        <f>J26+1</f>
        <v>24</v>
      </c>
      <c r="K27" s="8">
        <f>K26-(K26*$D$15)</f>
        <v>5480.3206930482847</v>
      </c>
      <c r="L27" s="9">
        <f>L26+(L26*$D$16)</f>
        <v>0.18390625580562683</v>
      </c>
      <c r="M27" s="10">
        <f t="shared" si="7"/>
        <v>1007.865259272608</v>
      </c>
      <c r="N27" s="10">
        <f t="shared" si="6"/>
        <v>0</v>
      </c>
      <c r="O27" s="10">
        <f t="shared" si="1"/>
        <v>1007.865259272608</v>
      </c>
      <c r="P27" s="11">
        <f t="shared" si="2"/>
        <v>1</v>
      </c>
    </row>
    <row r="28" spans="2:21" ht="15.75" thickBot="1" x14ac:dyDescent="0.3">
      <c r="B28" t="s">
        <v>47</v>
      </c>
      <c r="D28" s="26" t="s">
        <v>14</v>
      </c>
      <c r="F28" s="26" t="s">
        <v>14</v>
      </c>
      <c r="H28" s="28">
        <v>100</v>
      </c>
      <c r="J28" s="7">
        <f>J27+1</f>
        <v>25</v>
      </c>
      <c r="K28" s="8">
        <f>K27-(K27*$D$15)</f>
        <v>5452.9190895830434</v>
      </c>
      <c r="L28" s="9">
        <f>L27+(L27*$D$16)</f>
        <v>0.18703266215432249</v>
      </c>
      <c r="M28" s="10">
        <f t="shared" si="7"/>
        <v>1019.8739738368411</v>
      </c>
      <c r="N28" s="10">
        <f t="shared" si="6"/>
        <v>0</v>
      </c>
      <c r="O28" s="10">
        <f t="shared" si="1"/>
        <v>1019.8739738368411</v>
      </c>
      <c r="P28" s="11">
        <f t="shared" si="2"/>
        <v>1</v>
      </c>
    </row>
    <row r="29" spans="2:21" ht="15.75" thickBot="1" x14ac:dyDescent="0.3">
      <c r="B29" t="s">
        <v>48</v>
      </c>
      <c r="D29" s="26" t="s">
        <v>15</v>
      </c>
      <c r="F29" s="26" t="s">
        <v>15</v>
      </c>
      <c r="H29" s="28">
        <v>0</v>
      </c>
      <c r="J29" s="7"/>
      <c r="K29" s="8"/>
      <c r="L29" s="9"/>
      <c r="M29" s="10"/>
      <c r="N29" s="10">
        <f>IF(D8="Yes",D9,0)</f>
        <v>1</v>
      </c>
      <c r="O29" s="10"/>
      <c r="P29" s="11"/>
    </row>
    <row r="30" spans="2:21" ht="15.75" thickBot="1" x14ac:dyDescent="0.3">
      <c r="B30" s="39"/>
      <c r="D30" s="16"/>
      <c r="J30" s="12"/>
      <c r="K30" s="13"/>
      <c r="L30" s="13"/>
      <c r="M30" s="14">
        <f>SUM(M4:M28)</f>
        <v>22199.393389434063</v>
      </c>
      <c r="N30" s="14">
        <f>SUM(N4:N28)+N29</f>
        <v>5396.1742022194749</v>
      </c>
      <c r="O30" s="14">
        <f>SUM(O4:O28)-N29</f>
        <v>16803.219187214585</v>
      </c>
      <c r="P30" s="15">
        <f>(M30-N30)/M30</f>
        <v>0.75692244794455432</v>
      </c>
    </row>
    <row r="31" spans="2:21" ht="15.75" thickBot="1" x14ac:dyDescent="0.3">
      <c r="B31" s="33" t="s">
        <v>49</v>
      </c>
      <c r="D31" s="26" t="s">
        <v>15</v>
      </c>
      <c r="F31" s="26" t="s">
        <v>15</v>
      </c>
      <c r="H31" s="28">
        <v>0</v>
      </c>
      <c r="J31" s="35"/>
      <c r="K31" s="35"/>
      <c r="L31" s="35"/>
      <c r="M31" s="36"/>
      <c r="N31" s="36"/>
      <c r="O31" s="36"/>
      <c r="P31" s="37"/>
    </row>
    <row r="32" spans="2:21" ht="15.75" thickBot="1" x14ac:dyDescent="0.3">
      <c r="B32" s="39"/>
      <c r="D32" s="16"/>
    </row>
    <row r="33" spans="2:8" ht="15.75" thickBot="1" x14ac:dyDescent="0.3">
      <c r="B33" s="33" t="s">
        <v>50</v>
      </c>
      <c r="D33" s="26" t="s">
        <v>15</v>
      </c>
      <c r="F33" s="26" t="s">
        <v>15</v>
      </c>
      <c r="H33" s="28">
        <v>0</v>
      </c>
    </row>
    <row r="34" spans="2:8" ht="15.75" thickBot="1" x14ac:dyDescent="0.3">
      <c r="B34" s="39"/>
      <c r="D34" s="16"/>
    </row>
    <row r="35" spans="2:8" ht="15.75" thickBot="1" x14ac:dyDescent="0.3">
      <c r="B35" s="16"/>
      <c r="D35" s="16"/>
    </row>
    <row r="36" spans="2:8" ht="15.75" thickBot="1" x14ac:dyDescent="0.3">
      <c r="B36" s="34" t="s">
        <v>41</v>
      </c>
      <c r="D36" s="41">
        <f>SUMIFS(H25:H33, D25:D33, "Yes", F25:F33, "No")</f>
        <v>0</v>
      </c>
    </row>
    <row r="38" spans="2:8" ht="15.75" thickBot="1" x14ac:dyDescent="0.3">
      <c r="B38" s="17" t="s">
        <v>51</v>
      </c>
      <c r="C38"/>
    </row>
    <row r="39" spans="2:8" ht="15.75" thickBot="1" x14ac:dyDescent="0.3">
      <c r="B39" s="21" t="s">
        <v>25</v>
      </c>
      <c r="D39" s="22">
        <f>P4</f>
        <v>0.51923076923076927</v>
      </c>
    </row>
    <row r="40" spans="2:8" ht="15.75" thickBot="1" x14ac:dyDescent="0.3"/>
    <row r="41" spans="2:8" ht="15.75" thickBot="1" x14ac:dyDescent="0.3">
      <c r="B41" s="21" t="s">
        <v>34</v>
      </c>
      <c r="D41" s="22">
        <f>P30</f>
        <v>0.75692244794455432</v>
      </c>
    </row>
    <row r="181" spans="2:2" x14ac:dyDescent="0.25">
      <c r="B181" s="1" t="s">
        <v>5</v>
      </c>
    </row>
    <row r="182" spans="2:2" x14ac:dyDescent="0.25">
      <c r="B182" s="1" t="s">
        <v>6</v>
      </c>
    </row>
    <row r="184" spans="2:2" x14ac:dyDescent="0.25">
      <c r="B184" s="1" t="s">
        <v>14</v>
      </c>
    </row>
    <row r="185" spans="2:2" x14ac:dyDescent="0.25">
      <c r="B185" s="1" t="s">
        <v>15</v>
      </c>
    </row>
  </sheetData>
  <sheetProtection algorithmName="SHA-512" hashValue="ZDCGJJ2T0xxgHE0ymCX5WNMuqvdyzJOTIDg3X8Ftbg8OJ8Gv9Eida/BYtXEplSZzdDz+hz5Xqy5QmTOAGKtjhQ==" saltValue="29urnRFUIt/9rd6JBvePUg==" spinCount="100000" sheet="1" objects="1" scenarios="1"/>
  <mergeCells count="2">
    <mergeCell ref="D23:D24"/>
    <mergeCell ref="F23:F24"/>
  </mergeCells>
  <conditionalFormatting sqref="D39">
    <cfRule type="expression" dxfId="13" priority="3">
      <formula>D39&lt;=0.5</formula>
    </cfRule>
    <cfRule type="expression" dxfId="12" priority="5">
      <formula>D39&gt;0.5</formula>
    </cfRule>
  </conditionalFormatting>
  <conditionalFormatting sqref="D41">
    <cfRule type="expression" dxfId="11" priority="1">
      <formula>D41&lt;=0.5</formula>
    </cfRule>
    <cfRule type="expression" dxfId="10" priority="2">
      <formula>D41&gt;0.5</formula>
    </cfRule>
  </conditionalFormatting>
  <dataValidations count="2">
    <dataValidation type="list" allowBlank="1" showInputMessage="1" showErrorMessage="1" sqref="D8 D33 F25:F29 D25:D29 D31 F31 F33" xr:uid="{B64D1291-E1A1-4812-8253-18C99B179750}">
      <formula1>$B$184:$B$185</formula1>
    </dataValidation>
    <dataValidation type="list" allowBlank="1" showInputMessage="1" showErrorMessage="1" sqref="D6" xr:uid="{F9986D1D-0AFB-4B63-B1FA-BEC728A68D82}">
      <formula1>$B$181:$B$182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AEEC2-933B-48A3-836D-B279CBED8629}">
  <dimension ref="B1:U184"/>
  <sheetViews>
    <sheetView zoomScale="89" zoomScaleNormal="89" workbookViewId="0">
      <selection activeCell="B3" sqref="B3"/>
    </sheetView>
  </sheetViews>
  <sheetFormatPr defaultRowHeight="15" x14ac:dyDescent="0.25"/>
  <cols>
    <col min="1" max="1" width="3.28515625" customWidth="1"/>
    <col min="2" max="2" width="62" style="1" customWidth="1"/>
    <col min="3" max="3" width="3.5703125" customWidth="1"/>
    <col min="4" max="4" width="16.28515625" style="2" customWidth="1"/>
    <col min="5" max="5" width="3.7109375" style="16" customWidth="1"/>
    <col min="6" max="6" width="19" style="16" customWidth="1"/>
    <col min="7" max="7" width="3.7109375" style="16" customWidth="1"/>
    <col min="8" max="8" width="15.28515625" style="16" customWidth="1"/>
    <col min="9" max="9" width="3.7109375" style="16" customWidth="1"/>
    <col min="11" max="11" width="11" customWidth="1"/>
    <col min="12" max="12" width="11.5703125" customWidth="1"/>
    <col min="13" max="13" width="12.5703125" customWidth="1"/>
    <col min="14" max="14" width="13.5703125" customWidth="1"/>
    <col min="15" max="15" width="11.7109375" customWidth="1"/>
  </cols>
  <sheetData>
    <row r="1" spans="2:18" ht="18.75" x14ac:dyDescent="0.3">
      <c r="B1" s="23" t="s">
        <v>26</v>
      </c>
    </row>
    <row r="2" spans="2:18" ht="19.5" thickBot="1" x14ac:dyDescent="0.35">
      <c r="B2" s="31" t="s">
        <v>37</v>
      </c>
    </row>
    <row r="3" spans="2:18" ht="45" x14ac:dyDescent="0.25">
      <c r="J3" s="3" t="s">
        <v>2</v>
      </c>
      <c r="K3" s="4" t="s">
        <v>27</v>
      </c>
      <c r="L3" s="4" t="s">
        <v>20</v>
      </c>
      <c r="M3" s="4" t="s">
        <v>21</v>
      </c>
      <c r="N3" s="4" t="s">
        <v>19</v>
      </c>
      <c r="O3" s="5" t="s">
        <v>0</v>
      </c>
      <c r="P3" s="6" t="s">
        <v>1</v>
      </c>
    </row>
    <row r="4" spans="2:18" ht="15.75" thickBot="1" x14ac:dyDescent="0.3">
      <c r="B4" s="17" t="s">
        <v>11</v>
      </c>
      <c r="J4" s="7">
        <v>1</v>
      </c>
      <c r="K4" s="8">
        <f>D13</f>
        <v>6150</v>
      </c>
      <c r="L4" s="9">
        <f>D19</f>
        <v>0.12479999999999999</v>
      </c>
      <c r="M4" s="10">
        <f t="shared" ref="M4:M15" si="0">IF(J4&lt;=$D$16,K4*L4,0)</f>
        <v>767.52</v>
      </c>
      <c r="N4" s="10">
        <f>IF(J4&lt;=D10,D7/D10*D5,0)+D35</f>
        <v>384</v>
      </c>
      <c r="O4" s="10">
        <f t="shared" ref="O4:O28" si="1">M4-N4</f>
        <v>383.52</v>
      </c>
      <c r="P4" s="11">
        <f t="shared" ref="P4:P28" si="2">O4/M4</f>
        <v>0.49968730456535332</v>
      </c>
    </row>
    <row r="5" spans="2:18" ht="15.75" thickBot="1" x14ac:dyDescent="0.3">
      <c r="B5" s="1" t="s">
        <v>33</v>
      </c>
      <c r="D5" s="28">
        <v>32</v>
      </c>
      <c r="J5" s="7">
        <f>J4+1</f>
        <v>2</v>
      </c>
      <c r="K5" s="8">
        <f>K4-(K4*$D$14)</f>
        <v>6119.25</v>
      </c>
      <c r="L5" s="9">
        <f>L4+(L4*$D$15)</f>
        <v>0.12542400000000001</v>
      </c>
      <c r="M5" s="10">
        <f t="shared" si="0"/>
        <v>767.500812</v>
      </c>
      <c r="N5" s="10">
        <f>IF(J5&lt;=$D$10,($D$7*$D$5)/D10)*(1+$D$20)</f>
        <v>385.91999999999996</v>
      </c>
      <c r="O5" s="10">
        <f t="shared" si="1"/>
        <v>381.58081200000004</v>
      </c>
      <c r="P5" s="11">
        <f t="shared" si="2"/>
        <v>0.49717317041744058</v>
      </c>
      <c r="R5" s="20"/>
    </row>
    <row r="6" spans="2:18" ht="15.75" thickBot="1" x14ac:dyDescent="0.3">
      <c r="B6" s="1" t="s">
        <v>4</v>
      </c>
      <c r="D6" s="26" t="s">
        <v>5</v>
      </c>
      <c r="J6" s="7">
        <f t="shared" ref="J6:J28" si="3">J5+1</f>
        <v>3</v>
      </c>
      <c r="K6" s="8">
        <f t="shared" ref="K6:K28" si="4">K5-(K5*$D$14)</f>
        <v>6088.6537500000004</v>
      </c>
      <c r="L6" s="9">
        <f t="shared" ref="L6:L28" si="5">L5+(L5*$D$15)</f>
        <v>0.12605112000000002</v>
      </c>
      <c r="M6" s="10">
        <f t="shared" si="0"/>
        <v>767.48162447970014</v>
      </c>
      <c r="N6" s="10">
        <f t="shared" ref="N6:N28" si="6">IF(J6&lt;=$D$10,N5+(N5*$D$20),0)</f>
        <v>387.84959999999995</v>
      </c>
      <c r="O6" s="10">
        <f t="shared" si="1"/>
        <v>379.63202447970019</v>
      </c>
      <c r="P6" s="11">
        <f t="shared" si="2"/>
        <v>0.49464640242958863</v>
      </c>
    </row>
    <row r="7" spans="2:18" ht="15.75" thickBot="1" x14ac:dyDescent="0.3">
      <c r="B7" s="1" t="s">
        <v>10</v>
      </c>
      <c r="D7" s="27">
        <v>180</v>
      </c>
      <c r="J7" s="7">
        <f t="shared" si="3"/>
        <v>4</v>
      </c>
      <c r="K7" s="8">
        <f t="shared" si="4"/>
        <v>6058.2104812500002</v>
      </c>
      <c r="L7" s="9">
        <f t="shared" si="5"/>
        <v>0.12668137560000001</v>
      </c>
      <c r="M7" s="10">
        <f t="shared" si="0"/>
        <v>767.46243743908803</v>
      </c>
      <c r="N7" s="10">
        <f t="shared" si="6"/>
        <v>389.78884799999997</v>
      </c>
      <c r="O7" s="10">
        <f t="shared" si="1"/>
        <v>377.67358943908806</v>
      </c>
      <c r="P7" s="11">
        <f t="shared" si="2"/>
        <v>0.49210693711516434</v>
      </c>
    </row>
    <row r="8" spans="2:18" ht="15.75" thickBot="1" x14ac:dyDescent="0.3">
      <c r="B8" s="1" t="s">
        <v>16</v>
      </c>
      <c r="D8" s="26" t="s">
        <v>14</v>
      </c>
      <c r="J8" s="7">
        <f t="shared" si="3"/>
        <v>5</v>
      </c>
      <c r="K8" s="8">
        <f t="shared" si="4"/>
        <v>6027.9194288437502</v>
      </c>
      <c r="L8" s="9">
        <f t="shared" si="5"/>
        <v>0.12731478247800002</v>
      </c>
      <c r="M8" s="10">
        <f t="shared" si="0"/>
        <v>767.44325087815218</v>
      </c>
      <c r="N8" s="10">
        <f t="shared" si="6"/>
        <v>391.73779223999998</v>
      </c>
      <c r="O8" s="10">
        <f t="shared" si="1"/>
        <v>375.70545863815221</v>
      </c>
      <c r="P8" s="11">
        <f t="shared" si="2"/>
        <v>0.48955471066850698</v>
      </c>
    </row>
    <row r="9" spans="2:18" ht="15.75" thickBot="1" x14ac:dyDescent="0.3">
      <c r="B9" s="1" t="s">
        <v>12</v>
      </c>
      <c r="D9" s="28">
        <v>100</v>
      </c>
      <c r="J9" s="7">
        <f t="shared" si="3"/>
        <v>6</v>
      </c>
      <c r="K9" s="8">
        <f t="shared" si="4"/>
        <v>5997.7798316995313</v>
      </c>
      <c r="L9" s="9">
        <f t="shared" si="5"/>
        <v>0.12795135639039001</v>
      </c>
      <c r="M9" s="10">
        <f t="shared" si="0"/>
        <v>767.4240647968802</v>
      </c>
      <c r="N9" s="10">
        <f t="shared" si="6"/>
        <v>393.69648120119996</v>
      </c>
      <c r="O9" s="10">
        <f t="shared" si="1"/>
        <v>373.72758359568024</v>
      </c>
      <c r="P9" s="11">
        <f t="shared" si="2"/>
        <v>0.48698965896332358</v>
      </c>
    </row>
    <row r="10" spans="2:18" ht="15.75" thickBot="1" x14ac:dyDescent="0.3">
      <c r="B10" s="1" t="s">
        <v>22</v>
      </c>
      <c r="D10" s="18">
        <f>IF(D6="Monthly",D7/12,D7/3)</f>
        <v>15</v>
      </c>
      <c r="J10" s="7">
        <f t="shared" si="3"/>
        <v>7</v>
      </c>
      <c r="K10" s="8">
        <f t="shared" si="4"/>
        <v>5967.7909325410337</v>
      </c>
      <c r="L10" s="9">
        <f t="shared" si="5"/>
        <v>0.12859111317234195</v>
      </c>
      <c r="M10" s="10">
        <f t="shared" si="0"/>
        <v>767.40487919526015</v>
      </c>
      <c r="N10" s="10">
        <f t="shared" si="6"/>
        <v>395.66496360720595</v>
      </c>
      <c r="O10" s="10">
        <f t="shared" si="1"/>
        <v>371.7399155880542</v>
      </c>
      <c r="P10" s="11">
        <f t="shared" si="2"/>
        <v>0.48441171755107892</v>
      </c>
    </row>
    <row r="11" spans="2:18" x14ac:dyDescent="0.25">
      <c r="J11" s="7">
        <f t="shared" si="3"/>
        <v>8</v>
      </c>
      <c r="K11" s="8">
        <f t="shared" si="4"/>
        <v>5937.9519778783288</v>
      </c>
      <c r="L11" s="9">
        <f t="shared" si="5"/>
        <v>0.12923406873820367</v>
      </c>
      <c r="M11" s="10">
        <f t="shared" si="0"/>
        <v>767.38569407328043</v>
      </c>
      <c r="N11" s="10">
        <f t="shared" si="6"/>
        <v>397.64328842524196</v>
      </c>
      <c r="O11" s="10">
        <f t="shared" si="1"/>
        <v>369.74240564803847</v>
      </c>
      <c r="P11" s="11">
        <f t="shared" si="2"/>
        <v>0.48182082165937595</v>
      </c>
    </row>
    <row r="12" spans="2:18" ht="15.75" thickBot="1" x14ac:dyDescent="0.3">
      <c r="B12" s="17" t="s">
        <v>8</v>
      </c>
      <c r="J12" s="7">
        <f t="shared" si="3"/>
        <v>9</v>
      </c>
      <c r="K12" s="8">
        <f t="shared" si="4"/>
        <v>5908.2622179889368</v>
      </c>
      <c r="L12" s="9">
        <f t="shared" si="5"/>
        <v>0.12988023908189469</v>
      </c>
      <c r="M12" s="10">
        <f t="shared" si="0"/>
        <v>767.36650943092855</v>
      </c>
      <c r="N12" s="10">
        <f t="shared" si="6"/>
        <v>399.63150486736816</v>
      </c>
      <c r="O12" s="10">
        <f t="shared" si="1"/>
        <v>367.73500456356038</v>
      </c>
      <c r="P12" s="11">
        <f t="shared" si="2"/>
        <v>0.47921690619032753</v>
      </c>
    </row>
    <row r="13" spans="2:18" ht="15.75" thickBot="1" x14ac:dyDescent="0.3">
      <c r="B13" s="1" t="s">
        <v>9</v>
      </c>
      <c r="D13" s="29">
        <v>6150</v>
      </c>
      <c r="J13" s="7">
        <f t="shared" si="3"/>
        <v>10</v>
      </c>
      <c r="K13" s="8">
        <f t="shared" si="4"/>
        <v>5878.7209068989923</v>
      </c>
      <c r="L13" s="9">
        <f t="shared" si="5"/>
        <v>0.13052964027730415</v>
      </c>
      <c r="M13" s="10">
        <f t="shared" si="0"/>
        <v>767.34732526819266</v>
      </c>
      <c r="N13" s="10">
        <f t="shared" si="6"/>
        <v>401.62966239170498</v>
      </c>
      <c r="O13" s="10">
        <f t="shared" si="1"/>
        <v>365.71766287648768</v>
      </c>
      <c r="P13" s="11">
        <f t="shared" si="2"/>
        <v>0.47659990571892213</v>
      </c>
    </row>
    <row r="14" spans="2:18" ht="15.75" thickBot="1" x14ac:dyDescent="0.3">
      <c r="B14" s="1" t="s">
        <v>18</v>
      </c>
      <c r="D14" s="19">
        <v>5.0000000000000001E-3</v>
      </c>
      <c r="J14" s="7">
        <f t="shared" si="3"/>
        <v>11</v>
      </c>
      <c r="K14" s="8">
        <f t="shared" si="4"/>
        <v>5849.327302364497</v>
      </c>
      <c r="L14" s="9">
        <f t="shared" si="5"/>
        <v>0.13118228847869068</v>
      </c>
      <c r="M14" s="10">
        <f t="shared" si="0"/>
        <v>767.32814158506096</v>
      </c>
      <c r="N14" s="10">
        <f t="shared" si="6"/>
        <v>403.63781070366349</v>
      </c>
      <c r="O14" s="10">
        <f t="shared" si="1"/>
        <v>363.69033088139747</v>
      </c>
      <c r="P14" s="11">
        <f t="shared" si="2"/>
        <v>0.47396975449137901</v>
      </c>
    </row>
    <row r="15" spans="2:18" ht="15.75" thickBot="1" x14ac:dyDescent="0.3">
      <c r="B15" s="1" t="s">
        <v>7</v>
      </c>
      <c r="D15" s="30">
        <v>5.0000000000000001E-3</v>
      </c>
      <c r="J15" s="7">
        <f t="shared" si="3"/>
        <v>12</v>
      </c>
      <c r="K15" s="8">
        <f t="shared" si="4"/>
        <v>5820.0806658526744</v>
      </c>
      <c r="L15" s="9">
        <f t="shared" si="5"/>
        <v>0.13183819992108414</v>
      </c>
      <c r="M15" s="10">
        <f t="shared" si="0"/>
        <v>767.30895838152139</v>
      </c>
      <c r="N15" s="10">
        <f t="shared" si="6"/>
        <v>405.6559997571818</v>
      </c>
      <c r="O15" s="10">
        <f t="shared" si="1"/>
        <v>361.65295862433959</v>
      </c>
      <c r="P15" s="11">
        <f t="shared" si="2"/>
        <v>0.47132638642349656</v>
      </c>
    </row>
    <row r="16" spans="2:18" ht="15.75" thickBot="1" x14ac:dyDescent="0.3">
      <c r="B16" s="1" t="s">
        <v>23</v>
      </c>
      <c r="D16" s="18">
        <f>IF(D8="No",D10,25)</f>
        <v>25</v>
      </c>
      <c r="J16" s="7">
        <f>J15+1</f>
        <v>13</v>
      </c>
      <c r="K16" s="8">
        <f>K15-(K15*$D$14)</f>
        <v>5790.9802625234115</v>
      </c>
      <c r="L16" s="9">
        <f>L15+(L15*$D$15)</f>
        <v>0.13249739092068957</v>
      </c>
      <c r="M16" s="10">
        <f t="shared" ref="M16:M28" si="7">IF(J16&lt;=$D$16,K16*L16,0)</f>
        <v>767.28977565756202</v>
      </c>
      <c r="N16" s="10">
        <f t="shared" si="6"/>
        <v>407.68427975596774</v>
      </c>
      <c r="O16" s="10">
        <f t="shared" si="1"/>
        <v>359.60549590159428</v>
      </c>
      <c r="P16" s="11">
        <f t="shared" si="2"/>
        <v>0.46866973509899157</v>
      </c>
    </row>
    <row r="17" spans="2:21" x14ac:dyDescent="0.25">
      <c r="J17" s="7">
        <f t="shared" si="3"/>
        <v>14</v>
      </c>
      <c r="K17" s="8">
        <f t="shared" si="4"/>
        <v>5762.0253612107945</v>
      </c>
      <c r="L17" s="9">
        <f t="shared" si="5"/>
        <v>0.13315987787529301</v>
      </c>
      <c r="M17" s="10">
        <f t="shared" si="7"/>
        <v>767.27059341317056</v>
      </c>
      <c r="N17" s="10">
        <f t="shared" si="6"/>
        <v>409.7227011547476</v>
      </c>
      <c r="O17" s="10">
        <f t="shared" si="1"/>
        <v>357.54789225842296</v>
      </c>
      <c r="P17" s="11">
        <f t="shared" si="2"/>
        <v>0.46599973376783071</v>
      </c>
    </row>
    <row r="18" spans="2:21" ht="15.75" thickBot="1" x14ac:dyDescent="0.3">
      <c r="B18" s="17" t="s">
        <v>3</v>
      </c>
      <c r="J18" s="7">
        <f t="shared" si="3"/>
        <v>15</v>
      </c>
      <c r="K18" s="8">
        <f t="shared" si="4"/>
        <v>5733.2152344047408</v>
      </c>
      <c r="L18" s="9">
        <f t="shared" si="5"/>
        <v>0.13382567726466948</v>
      </c>
      <c r="M18" s="10">
        <f t="shared" si="7"/>
        <v>767.25141164833531</v>
      </c>
      <c r="N18" s="10">
        <f t="shared" si="6"/>
        <v>411.77131466052134</v>
      </c>
      <c r="O18" s="10">
        <f t="shared" si="1"/>
        <v>355.48009698781397</v>
      </c>
      <c r="P18" s="11">
        <f t="shared" si="2"/>
        <v>0.46331631534455353</v>
      </c>
    </row>
    <row r="19" spans="2:21" ht="15.75" thickBot="1" x14ac:dyDescent="0.3">
      <c r="B19" s="1" t="s">
        <v>17</v>
      </c>
      <c r="D19" s="25">
        <v>0.12479999999999999</v>
      </c>
      <c r="J19" s="7">
        <f>J18+1</f>
        <v>16</v>
      </c>
      <c r="K19" s="8">
        <f t="shared" si="4"/>
        <v>5704.5491582327168</v>
      </c>
      <c r="L19" s="9">
        <f t="shared" si="5"/>
        <v>0.13449480565099284</v>
      </c>
      <c r="M19" s="10">
        <f t="shared" si="7"/>
        <v>767.23223036304398</v>
      </c>
      <c r="N19" s="10">
        <f t="shared" si="6"/>
        <v>0</v>
      </c>
      <c r="O19" s="10">
        <f t="shared" si="1"/>
        <v>767.23223036304398</v>
      </c>
      <c r="P19" s="11">
        <f t="shared" si="2"/>
        <v>1</v>
      </c>
      <c r="U19" t="s">
        <v>24</v>
      </c>
    </row>
    <row r="20" spans="2:21" ht="15.75" thickBot="1" x14ac:dyDescent="0.3">
      <c r="B20" s="1" t="s">
        <v>13</v>
      </c>
      <c r="D20" s="30">
        <v>5.0000000000000001E-3</v>
      </c>
      <c r="J20" s="7">
        <f t="shared" si="3"/>
        <v>17</v>
      </c>
      <c r="K20" s="8">
        <f t="shared" si="4"/>
        <v>5676.0264124415535</v>
      </c>
      <c r="L20" s="9">
        <f t="shared" si="5"/>
        <v>0.1351672796792478</v>
      </c>
      <c r="M20" s="10">
        <f t="shared" si="7"/>
        <v>767.21304955728499</v>
      </c>
      <c r="N20" s="10">
        <f t="shared" si="6"/>
        <v>0</v>
      </c>
      <c r="O20" s="10">
        <f t="shared" si="1"/>
        <v>767.21304955728499</v>
      </c>
      <c r="P20" s="11">
        <f t="shared" si="2"/>
        <v>1</v>
      </c>
    </row>
    <row r="21" spans="2:21" x14ac:dyDescent="0.25">
      <c r="B21" s="16"/>
      <c r="C21" s="16"/>
      <c r="D21" s="16"/>
      <c r="J21" s="7">
        <f t="shared" si="3"/>
        <v>18</v>
      </c>
      <c r="K21" s="8">
        <f t="shared" si="4"/>
        <v>5647.6462803793456</v>
      </c>
      <c r="L21" s="9">
        <f t="shared" si="5"/>
        <v>0.13584311607764404</v>
      </c>
      <c r="M21" s="10">
        <f t="shared" si="7"/>
        <v>767.19386923104605</v>
      </c>
      <c r="N21" s="10">
        <f t="shared" si="6"/>
        <v>0</v>
      </c>
      <c r="O21" s="10">
        <f t="shared" si="1"/>
        <v>767.19386923104605</v>
      </c>
      <c r="P21" s="11">
        <f t="shared" si="2"/>
        <v>1</v>
      </c>
    </row>
    <row r="22" spans="2:21" x14ac:dyDescent="0.25">
      <c r="C22" s="16"/>
      <c r="D22" s="42" t="s">
        <v>46</v>
      </c>
      <c r="F22" s="42" t="s">
        <v>44</v>
      </c>
      <c r="H22" s="2"/>
      <c r="J22" s="7">
        <f t="shared" si="3"/>
        <v>19</v>
      </c>
      <c r="K22" s="8">
        <f t="shared" si="4"/>
        <v>5619.4080489774487</v>
      </c>
      <c r="L22" s="9">
        <f t="shared" si="5"/>
        <v>0.13652233165803226</v>
      </c>
      <c r="M22" s="10">
        <f t="shared" si="7"/>
        <v>767.17468938431523</v>
      </c>
      <c r="N22" s="10">
        <f t="shared" si="6"/>
        <v>0</v>
      </c>
      <c r="O22" s="10">
        <f t="shared" si="1"/>
        <v>767.17468938431523</v>
      </c>
      <c r="P22" s="11">
        <f t="shared" si="2"/>
        <v>1</v>
      </c>
    </row>
    <row r="23" spans="2:21" ht="15.75" thickBot="1" x14ac:dyDescent="0.3">
      <c r="B23" s="34" t="s">
        <v>43</v>
      </c>
      <c r="C23" s="38"/>
      <c r="D23" s="43"/>
      <c r="E23" s="32"/>
      <c r="F23" s="43"/>
      <c r="G23" s="33"/>
      <c r="H23" s="2" t="s">
        <v>45</v>
      </c>
      <c r="J23" s="7">
        <f t="shared" si="3"/>
        <v>20</v>
      </c>
      <c r="K23" s="8">
        <f t="shared" si="4"/>
        <v>5591.3110087325613</v>
      </c>
      <c r="L23" s="9">
        <f t="shared" si="5"/>
        <v>0.13720494331632244</v>
      </c>
      <c r="M23" s="10">
        <f t="shared" si="7"/>
        <v>767.1555100170807</v>
      </c>
      <c r="N23" s="10">
        <f t="shared" si="6"/>
        <v>0</v>
      </c>
      <c r="O23" s="10">
        <f t="shared" si="1"/>
        <v>767.1555100170807</v>
      </c>
      <c r="P23" s="11">
        <f t="shared" si="2"/>
        <v>1</v>
      </c>
    </row>
    <row r="24" spans="2:21" ht="15.75" thickBot="1" x14ac:dyDescent="0.3">
      <c r="B24" t="s">
        <v>39</v>
      </c>
      <c r="C24" s="38"/>
      <c r="D24" s="26" t="s">
        <v>15</v>
      </c>
      <c r="F24" s="26" t="s">
        <v>15</v>
      </c>
      <c r="H24" s="28">
        <v>0</v>
      </c>
      <c r="J24" s="7">
        <f>J23+1</f>
        <v>21</v>
      </c>
      <c r="K24" s="8">
        <f>K23-(K23*$D$14)</f>
        <v>5563.3544536888985</v>
      </c>
      <c r="L24" s="9">
        <f>L23+(L23*$D$15)</f>
        <v>0.13789096803290404</v>
      </c>
      <c r="M24" s="10">
        <f t="shared" si="7"/>
        <v>767.13633112933019</v>
      </c>
      <c r="N24" s="10">
        <f t="shared" si="6"/>
        <v>0</v>
      </c>
      <c r="O24" s="10">
        <f t="shared" si="1"/>
        <v>767.13633112933019</v>
      </c>
      <c r="P24" s="11">
        <f t="shared" si="2"/>
        <v>1</v>
      </c>
    </row>
    <row r="25" spans="2:21" ht="15.75" thickBot="1" x14ac:dyDescent="0.3">
      <c r="B25" t="s">
        <v>42</v>
      </c>
      <c r="C25" s="16"/>
      <c r="D25" s="26" t="s">
        <v>15</v>
      </c>
      <c r="F25" s="26" t="s">
        <v>15</v>
      </c>
      <c r="H25" s="28">
        <v>0</v>
      </c>
      <c r="J25" s="7">
        <f t="shared" si="3"/>
        <v>22</v>
      </c>
      <c r="K25" s="8">
        <f t="shared" si="4"/>
        <v>5535.5376814204537</v>
      </c>
      <c r="L25" s="9">
        <f t="shared" si="5"/>
        <v>0.13858042287306857</v>
      </c>
      <c r="M25" s="10">
        <f t="shared" si="7"/>
        <v>767.11715272105198</v>
      </c>
      <c r="N25" s="10">
        <f t="shared" si="6"/>
        <v>0</v>
      </c>
      <c r="O25" s="10">
        <f t="shared" si="1"/>
        <v>767.11715272105198</v>
      </c>
      <c r="P25" s="11">
        <f t="shared" si="2"/>
        <v>1</v>
      </c>
    </row>
    <row r="26" spans="2:21" ht="15.75" thickBot="1" x14ac:dyDescent="0.3">
      <c r="B26" t="s">
        <v>40</v>
      </c>
      <c r="C26" s="16"/>
      <c r="D26" s="26" t="s">
        <v>14</v>
      </c>
      <c r="F26" s="26" t="s">
        <v>14</v>
      </c>
      <c r="H26" s="28">
        <v>100</v>
      </c>
      <c r="J26" s="7">
        <f t="shared" si="3"/>
        <v>23</v>
      </c>
      <c r="K26" s="8">
        <f t="shared" si="4"/>
        <v>5507.8599930133514</v>
      </c>
      <c r="L26" s="9">
        <f t="shared" si="5"/>
        <v>0.13927332498743392</v>
      </c>
      <c r="M26" s="10">
        <f t="shared" si="7"/>
        <v>767.09797479223403</v>
      </c>
      <c r="N26" s="10">
        <f t="shared" si="6"/>
        <v>0</v>
      </c>
      <c r="O26" s="10">
        <f t="shared" si="1"/>
        <v>767.09797479223403</v>
      </c>
      <c r="P26" s="11">
        <f t="shared" si="2"/>
        <v>1</v>
      </c>
    </row>
    <row r="27" spans="2:21" ht="15.75" thickBot="1" x14ac:dyDescent="0.3">
      <c r="B27" t="s">
        <v>47</v>
      </c>
      <c r="C27" s="16"/>
      <c r="D27" s="26" t="s">
        <v>14</v>
      </c>
      <c r="F27" s="26" t="s">
        <v>14</v>
      </c>
      <c r="H27" s="28">
        <v>100</v>
      </c>
      <c r="J27" s="7">
        <f t="shared" si="3"/>
        <v>24</v>
      </c>
      <c r="K27" s="8">
        <f t="shared" si="4"/>
        <v>5480.3206930482847</v>
      </c>
      <c r="L27" s="9">
        <f t="shared" si="5"/>
        <v>0.13996969161237108</v>
      </c>
      <c r="M27" s="10">
        <f t="shared" si="7"/>
        <v>767.07879734286416</v>
      </c>
      <c r="N27" s="10">
        <f t="shared" si="6"/>
        <v>0</v>
      </c>
      <c r="O27" s="10">
        <f t="shared" si="1"/>
        <v>767.07879734286416</v>
      </c>
      <c r="P27" s="11">
        <f t="shared" si="2"/>
        <v>1</v>
      </c>
    </row>
    <row r="28" spans="2:21" ht="15.75" thickBot="1" x14ac:dyDescent="0.3">
      <c r="B28" t="s">
        <v>48</v>
      </c>
      <c r="C28" s="16"/>
      <c r="D28" s="26" t="s">
        <v>15</v>
      </c>
      <c r="F28" s="26" t="s">
        <v>15</v>
      </c>
      <c r="H28" s="28">
        <v>0</v>
      </c>
      <c r="J28" s="7">
        <f t="shared" si="3"/>
        <v>25</v>
      </c>
      <c r="K28" s="8">
        <f t="shared" si="4"/>
        <v>5452.9190895830434</v>
      </c>
      <c r="L28" s="9">
        <f t="shared" si="5"/>
        <v>0.14066954007043295</v>
      </c>
      <c r="M28" s="10">
        <f t="shared" si="7"/>
        <v>767.05962037293068</v>
      </c>
      <c r="N28" s="10">
        <f t="shared" si="6"/>
        <v>0</v>
      </c>
      <c r="O28" s="10">
        <f t="shared" si="1"/>
        <v>767.05962037293068</v>
      </c>
      <c r="P28" s="11">
        <f t="shared" si="2"/>
        <v>1</v>
      </c>
    </row>
    <row r="29" spans="2:21" ht="15.75" thickBot="1" x14ac:dyDescent="0.3">
      <c r="B29" s="39"/>
      <c r="C29" s="16"/>
      <c r="D29" s="16"/>
      <c r="J29" s="7"/>
      <c r="K29" s="8"/>
      <c r="L29" s="9"/>
      <c r="M29" s="10"/>
      <c r="N29" s="10">
        <f>IF(D8="Yes",D9,0)</f>
        <v>100</v>
      </c>
      <c r="O29" s="10"/>
      <c r="P29" s="11"/>
    </row>
    <row r="30" spans="2:21" ht="15.75" thickBot="1" x14ac:dyDescent="0.3">
      <c r="B30" s="33" t="s">
        <v>49</v>
      </c>
      <c r="C30" s="16"/>
      <c r="D30" s="26" t="s">
        <v>15</v>
      </c>
      <c r="F30" s="26" t="s">
        <v>15</v>
      </c>
      <c r="H30" s="28">
        <v>0</v>
      </c>
      <c r="J30" s="12"/>
      <c r="K30" s="13"/>
      <c r="L30" s="13"/>
      <c r="M30" s="14">
        <f>SUM(M4:M28)</f>
        <v>19182.244703158318</v>
      </c>
      <c r="N30" s="14">
        <f>SUM(N4:N28)+N29</f>
        <v>6066.0342467648034</v>
      </c>
      <c r="O30" s="14">
        <f>SUM(O4:O28)-N29</f>
        <v>13116.210456393512</v>
      </c>
      <c r="P30" s="15">
        <f>(M30-N30)/M30</f>
        <v>0.68376827943571983</v>
      </c>
    </row>
    <row r="31" spans="2:21" ht="15.75" thickBot="1" x14ac:dyDescent="0.3">
      <c r="B31" s="39"/>
      <c r="C31" s="16"/>
      <c r="D31" s="16"/>
      <c r="N31" s="20"/>
    </row>
    <row r="32" spans="2:21" ht="15.75" thickBot="1" x14ac:dyDescent="0.3">
      <c r="B32" s="33" t="s">
        <v>50</v>
      </c>
      <c r="C32" s="16"/>
      <c r="D32" s="26" t="s">
        <v>15</v>
      </c>
      <c r="F32" s="26" t="s">
        <v>15</v>
      </c>
      <c r="H32" s="28">
        <v>0</v>
      </c>
    </row>
    <row r="33" spans="2:4" ht="15.75" thickBot="1" x14ac:dyDescent="0.3">
      <c r="B33" s="39"/>
      <c r="C33" s="16"/>
      <c r="D33" s="16"/>
    </row>
    <row r="34" spans="2:4" ht="15.75" thickBot="1" x14ac:dyDescent="0.3">
      <c r="B34" s="16"/>
      <c r="C34" s="16"/>
      <c r="D34" s="16"/>
    </row>
    <row r="35" spans="2:4" ht="30.75" thickBot="1" x14ac:dyDescent="0.3">
      <c r="B35" s="34" t="s">
        <v>35</v>
      </c>
      <c r="C35" s="40"/>
      <c r="D35" s="41">
        <f>SUMIFS(H24:H32, D24:D32, "Yes", F24:F32, "No")</f>
        <v>0</v>
      </c>
    </row>
    <row r="37" spans="2:4" ht="15.75" thickBot="1" x14ac:dyDescent="0.3">
      <c r="B37" s="17" t="s">
        <v>51</v>
      </c>
    </row>
    <row r="38" spans="2:4" ht="15.75" thickBot="1" x14ac:dyDescent="0.3">
      <c r="B38" s="21" t="s">
        <v>25</v>
      </c>
      <c r="D38" s="22">
        <f>P4</f>
        <v>0.49968730456535332</v>
      </c>
    </row>
    <row r="39" spans="2:4" ht="15.75" thickBot="1" x14ac:dyDescent="0.3"/>
    <row r="40" spans="2:4" ht="15.75" thickBot="1" x14ac:dyDescent="0.3">
      <c r="B40" s="21" t="s">
        <v>34</v>
      </c>
      <c r="D40" s="22">
        <f>P30</f>
        <v>0.68376827943571983</v>
      </c>
    </row>
    <row r="180" spans="2:2" x14ac:dyDescent="0.25">
      <c r="B180" s="1" t="s">
        <v>5</v>
      </c>
    </row>
    <row r="181" spans="2:2" x14ac:dyDescent="0.25">
      <c r="B181" s="1" t="s">
        <v>6</v>
      </c>
    </row>
    <row r="183" spans="2:2" x14ac:dyDescent="0.25">
      <c r="B183" s="1" t="s">
        <v>14</v>
      </c>
    </row>
    <row r="184" spans="2:2" x14ac:dyDescent="0.25">
      <c r="B184" s="1" t="s">
        <v>15</v>
      </c>
    </row>
  </sheetData>
  <sheetProtection algorithmName="SHA-512" hashValue="tprEZLyvzKFlgO3vj1uhPU1q8u68m3u4DLXnfM41RiGzx5RU6hjEppdaXn9YdDBXYNUWijBV45B7g5RJZRr5Eg==" saltValue="S/egRaTFxDx0N3EDs2Vjow==" spinCount="100000" sheet="1" objects="1" scenarios="1"/>
  <mergeCells count="2">
    <mergeCell ref="D22:D23"/>
    <mergeCell ref="F22:F23"/>
  </mergeCells>
  <conditionalFormatting sqref="D38">
    <cfRule type="expression" dxfId="9" priority="3">
      <formula>D38&lt;=0.5</formula>
    </cfRule>
    <cfRule type="expression" dxfId="8" priority="5">
      <formula>D38&gt;0.5</formula>
    </cfRule>
  </conditionalFormatting>
  <conditionalFormatting sqref="D5">
    <cfRule type="expression" dxfId="7" priority="4">
      <formula>"d23&lt;=.5"</formula>
    </cfRule>
  </conditionalFormatting>
  <conditionalFormatting sqref="D40">
    <cfRule type="expression" dxfId="6" priority="1">
      <formula>D40&lt;=0.5</formula>
    </cfRule>
    <cfRule type="expression" dxfId="5" priority="2">
      <formula>D40&gt;0.5</formula>
    </cfRule>
  </conditionalFormatting>
  <dataValidations count="2">
    <dataValidation type="list" allowBlank="1" showInputMessage="1" showErrorMessage="1" sqref="D6" xr:uid="{65A89F64-09E3-4BBA-8336-06BC440CB991}">
      <formula1>$B$180:$B$181</formula1>
    </dataValidation>
    <dataValidation type="list" allowBlank="1" showInputMessage="1" showErrorMessage="1" sqref="D8 F32 F30 F24:F28 D32 D30 D24:D28" xr:uid="{44C9D375-9F7D-4087-A7D5-169566336FE0}">
      <formula1>$B$183:$B$184</formula1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C5615-CF36-4362-A26A-84ED5127BD4A}">
  <dimension ref="B1:U182"/>
  <sheetViews>
    <sheetView tabSelected="1" zoomScale="95" zoomScaleNormal="95" workbookViewId="0">
      <selection activeCell="K44" sqref="K44"/>
    </sheetView>
  </sheetViews>
  <sheetFormatPr defaultRowHeight="15" x14ac:dyDescent="0.25"/>
  <cols>
    <col min="1" max="1" width="3.28515625" customWidth="1"/>
    <col min="2" max="2" width="61.28515625" style="1" customWidth="1"/>
    <col min="3" max="3" width="3.5703125" customWidth="1"/>
    <col min="4" max="4" width="14.7109375" style="2" customWidth="1"/>
    <col min="5" max="5" width="3.7109375" style="16" customWidth="1"/>
    <col min="6" max="6" width="18.7109375" style="16" customWidth="1"/>
    <col min="7" max="7" width="3.7109375" style="16" customWidth="1"/>
    <col min="8" max="8" width="12.7109375" style="16" customWidth="1"/>
    <col min="9" max="9" width="3.7109375" style="16" customWidth="1"/>
    <col min="12" max="12" width="10.42578125" customWidth="1"/>
    <col min="13" max="13" width="12.28515625" customWidth="1"/>
    <col min="14" max="14" width="11.28515625" customWidth="1"/>
    <col min="15" max="15" width="13.7109375" customWidth="1"/>
  </cols>
  <sheetData>
    <row r="1" spans="2:18" ht="18.75" x14ac:dyDescent="0.3">
      <c r="B1" s="23" t="s">
        <v>26</v>
      </c>
    </row>
    <row r="2" spans="2:18" ht="19.5" thickBot="1" x14ac:dyDescent="0.35">
      <c r="B2" s="31" t="s">
        <v>38</v>
      </c>
    </row>
    <row r="3" spans="2:18" ht="45" x14ac:dyDescent="0.25">
      <c r="J3" s="3" t="s">
        <v>2</v>
      </c>
      <c r="K3" s="4" t="s">
        <v>27</v>
      </c>
      <c r="L3" s="4" t="s">
        <v>20</v>
      </c>
      <c r="M3" s="4" t="s">
        <v>21</v>
      </c>
      <c r="N3" s="4" t="s">
        <v>19</v>
      </c>
      <c r="O3" s="5" t="s">
        <v>0</v>
      </c>
      <c r="P3" s="6" t="s">
        <v>1</v>
      </c>
    </row>
    <row r="4" spans="2:18" ht="15.75" thickBot="1" x14ac:dyDescent="0.3">
      <c r="B4" s="17" t="s">
        <v>52</v>
      </c>
      <c r="J4" s="7">
        <v>1</v>
      </c>
      <c r="K4" s="8">
        <f>D11</f>
        <v>6150</v>
      </c>
      <c r="L4" s="9">
        <f>D17</f>
        <v>0.12479999999999999</v>
      </c>
      <c r="M4" s="10">
        <f t="shared" ref="M4:M15" si="0">IF(J4&lt;=$D$14,K4*L4,0)</f>
        <v>767.52</v>
      </c>
      <c r="N4" s="10">
        <f>IF(J4&lt;=D8,D7/D8*D5,0)+D33</f>
        <v>318</v>
      </c>
      <c r="O4" s="10">
        <f t="shared" ref="O4:O28" si="1">M4-N4</f>
        <v>449.52</v>
      </c>
      <c r="P4" s="11">
        <f t="shared" ref="P4:P28" si="2">O4/M4</f>
        <v>0.58567854909318318</v>
      </c>
    </row>
    <row r="5" spans="2:18" ht="15.75" thickBot="1" x14ac:dyDescent="0.3">
      <c r="B5" s="1" t="s">
        <v>32</v>
      </c>
      <c r="D5" s="28">
        <v>26.5</v>
      </c>
      <c r="J5" s="7">
        <f>J4+1</f>
        <v>2</v>
      </c>
      <c r="K5" s="8">
        <f>K4-(K4*$D$12)</f>
        <v>6119.25</v>
      </c>
      <c r="L5" s="9">
        <f>L4+(L4*$D$13)</f>
        <v>0.1269216</v>
      </c>
      <c r="M5" s="10">
        <f t="shared" si="0"/>
        <v>776.66500079999992</v>
      </c>
      <c r="N5" s="10">
        <f>IF(J5&lt;=$D$8,($D$7*$D$5)/D8)*(1+$D$18)</f>
        <v>323.40599999999995</v>
      </c>
      <c r="O5" s="10">
        <f t="shared" si="1"/>
        <v>453.25900079999997</v>
      </c>
      <c r="P5" s="11">
        <f t="shared" si="2"/>
        <v>0.58359653175194293</v>
      </c>
      <c r="R5" s="20"/>
    </row>
    <row r="6" spans="2:18" ht="15.75" thickBot="1" x14ac:dyDescent="0.3">
      <c r="B6" s="1" t="s">
        <v>4</v>
      </c>
      <c r="D6" s="26" t="s">
        <v>5</v>
      </c>
      <c r="J6" s="7">
        <f t="shared" ref="J6:J28" si="3">J5+1</f>
        <v>3</v>
      </c>
      <c r="K6" s="8">
        <f t="shared" ref="K6:K28" si="4">K5-(K5*$D$12)</f>
        <v>6088.6537500000004</v>
      </c>
      <c r="L6" s="9">
        <f t="shared" ref="L6:L28" si="5">L5+(L5*$D$13)</f>
        <v>0.12907926719999999</v>
      </c>
      <c r="M6" s="10">
        <f t="shared" si="0"/>
        <v>785.91896428453197</v>
      </c>
      <c r="N6" s="10">
        <f t="shared" ref="N6:N28" si="6">IF(J6&lt;=$D$8,N5+(N5*$D$18),0)</f>
        <v>328.90390199999996</v>
      </c>
      <c r="O6" s="10">
        <f t="shared" si="1"/>
        <v>457.01506228453201</v>
      </c>
      <c r="P6" s="11">
        <f t="shared" si="2"/>
        <v>0.58150405201200295</v>
      </c>
    </row>
    <row r="7" spans="2:18" ht="15.75" thickBot="1" x14ac:dyDescent="0.3">
      <c r="B7" s="1" t="s">
        <v>28</v>
      </c>
      <c r="D7" s="27">
        <v>180</v>
      </c>
      <c r="J7" s="7">
        <f t="shared" si="3"/>
        <v>4</v>
      </c>
      <c r="K7" s="8">
        <f t="shared" si="4"/>
        <v>6058.2104812500002</v>
      </c>
      <c r="L7" s="9">
        <f t="shared" si="5"/>
        <v>0.13127361474239999</v>
      </c>
      <c r="M7" s="10">
        <f t="shared" si="0"/>
        <v>795.28318874398212</v>
      </c>
      <c r="N7" s="10">
        <f t="shared" si="6"/>
        <v>334.49526833399995</v>
      </c>
      <c r="O7" s="10">
        <f t="shared" si="1"/>
        <v>460.78792040998218</v>
      </c>
      <c r="P7" s="11">
        <f t="shared" si="2"/>
        <v>0.57940105729849545</v>
      </c>
    </row>
    <row r="8" spans="2:18" ht="15.75" thickBot="1" x14ac:dyDescent="0.3">
      <c r="B8" s="1" t="s">
        <v>22</v>
      </c>
      <c r="D8" s="18">
        <f>IF(D6="Monthly",D7/12,D7/3)</f>
        <v>15</v>
      </c>
      <c r="J8" s="7">
        <f t="shared" si="3"/>
        <v>5</v>
      </c>
      <c r="K8" s="8">
        <f t="shared" si="4"/>
        <v>6027.9194288437502</v>
      </c>
      <c r="L8" s="9">
        <f t="shared" si="5"/>
        <v>0.13350526619302078</v>
      </c>
      <c r="M8" s="10">
        <f t="shared" si="0"/>
        <v>804.75898793786666</v>
      </c>
      <c r="N8" s="10">
        <f t="shared" si="6"/>
        <v>340.18168789567795</v>
      </c>
      <c r="O8" s="10">
        <f t="shared" si="1"/>
        <v>464.57730004218871</v>
      </c>
      <c r="P8" s="11">
        <f t="shared" si="2"/>
        <v>0.5772874947723573</v>
      </c>
    </row>
    <row r="9" spans="2:18" x14ac:dyDescent="0.25">
      <c r="J9" s="7">
        <f t="shared" si="3"/>
        <v>6</v>
      </c>
      <c r="K9" s="8">
        <f t="shared" si="4"/>
        <v>5997.7798316995313</v>
      </c>
      <c r="L9" s="9">
        <f t="shared" si="5"/>
        <v>0.13577485571830214</v>
      </c>
      <c r="M9" s="10">
        <f t="shared" si="0"/>
        <v>814.34769127914637</v>
      </c>
      <c r="N9" s="10">
        <f t="shared" si="6"/>
        <v>345.96477658990449</v>
      </c>
      <c r="O9" s="10">
        <f t="shared" si="1"/>
        <v>468.38291468924189</v>
      </c>
      <c r="P9" s="11">
        <f t="shared" si="2"/>
        <v>0.57516331132900222</v>
      </c>
    </row>
    <row r="10" spans="2:18" ht="15.75" thickBot="1" x14ac:dyDescent="0.3">
      <c r="B10" s="17" t="s">
        <v>8</v>
      </c>
      <c r="J10" s="7">
        <f t="shared" si="3"/>
        <v>7</v>
      </c>
      <c r="K10" s="8">
        <f t="shared" si="4"/>
        <v>5967.7909325410337</v>
      </c>
      <c r="L10" s="9">
        <f t="shared" si="5"/>
        <v>0.13808302826551327</v>
      </c>
      <c r="M10" s="10">
        <f t="shared" si="0"/>
        <v>824.05064402073742</v>
      </c>
      <c r="N10" s="10">
        <f t="shared" si="6"/>
        <v>351.84617779193286</v>
      </c>
      <c r="O10" s="10">
        <f t="shared" si="1"/>
        <v>472.20446622880456</v>
      </c>
      <c r="P10" s="11">
        <f t="shared" si="2"/>
        <v>0.57302845359698718</v>
      </c>
    </row>
    <row r="11" spans="2:18" ht="15.75" thickBot="1" x14ac:dyDescent="0.3">
      <c r="B11" s="1" t="s">
        <v>9</v>
      </c>
      <c r="D11" s="29">
        <v>6150</v>
      </c>
      <c r="J11" s="7">
        <f t="shared" si="3"/>
        <v>8</v>
      </c>
      <c r="K11" s="8">
        <f t="shared" si="4"/>
        <v>5937.9519778783288</v>
      </c>
      <c r="L11" s="9">
        <f t="shared" si="5"/>
        <v>0.14043043974602701</v>
      </c>
      <c r="M11" s="10">
        <f t="shared" si="0"/>
        <v>833.86920744424458</v>
      </c>
      <c r="N11" s="10">
        <f t="shared" si="6"/>
        <v>357.82756281439572</v>
      </c>
      <c r="O11" s="10">
        <f t="shared" si="1"/>
        <v>476.04164462984886</v>
      </c>
      <c r="P11" s="11">
        <f t="shared" si="2"/>
        <v>0.57088286793667065</v>
      </c>
    </row>
    <row r="12" spans="2:18" ht="15.75" thickBot="1" x14ac:dyDescent="0.3">
      <c r="B12" s="1" t="s">
        <v>18</v>
      </c>
      <c r="D12" s="19">
        <v>5.0000000000000001E-3</v>
      </c>
      <c r="J12" s="7">
        <f t="shared" si="3"/>
        <v>9</v>
      </c>
      <c r="K12" s="8">
        <f t="shared" si="4"/>
        <v>5908.2622179889368</v>
      </c>
      <c r="L12" s="9">
        <f t="shared" si="5"/>
        <v>0.14281775722170947</v>
      </c>
      <c r="M12" s="10">
        <f t="shared" si="0"/>
        <v>843.80475905094272</v>
      </c>
      <c r="N12" s="10">
        <f t="shared" si="6"/>
        <v>363.91063138224047</v>
      </c>
      <c r="O12" s="10">
        <f t="shared" si="1"/>
        <v>479.89412766870225</v>
      </c>
      <c r="P12" s="11">
        <f t="shared" si="2"/>
        <v>0.56872650043886486</v>
      </c>
    </row>
    <row r="13" spans="2:18" ht="15.75" thickBot="1" x14ac:dyDescent="0.3">
      <c r="B13" s="1" t="s">
        <v>7</v>
      </c>
      <c r="D13" s="30">
        <v>1.7000000000000001E-2</v>
      </c>
      <c r="J13" s="7">
        <f t="shared" si="3"/>
        <v>10</v>
      </c>
      <c r="K13" s="8">
        <f t="shared" si="4"/>
        <v>5878.7209068989923</v>
      </c>
      <c r="L13" s="9">
        <f t="shared" si="5"/>
        <v>0.14524565909447854</v>
      </c>
      <c r="M13" s="10">
        <f t="shared" si="0"/>
        <v>853.85869275503478</v>
      </c>
      <c r="N13" s="10">
        <f t="shared" si="6"/>
        <v>370.09711211573858</v>
      </c>
      <c r="O13" s="10">
        <f t="shared" si="1"/>
        <v>483.7615806392962</v>
      </c>
      <c r="P13" s="11">
        <f t="shared" si="2"/>
        <v>0.56655929692348228</v>
      </c>
    </row>
    <row r="14" spans="2:18" ht="15.75" thickBot="1" x14ac:dyDescent="0.3">
      <c r="B14" s="1" t="s">
        <v>23</v>
      </c>
      <c r="D14" s="18">
        <v>25</v>
      </c>
      <c r="J14" s="7">
        <f t="shared" si="3"/>
        <v>11</v>
      </c>
      <c r="K14" s="8">
        <f t="shared" si="4"/>
        <v>5849.327302364497</v>
      </c>
      <c r="L14" s="9">
        <f t="shared" si="5"/>
        <v>0.14771483529908466</v>
      </c>
      <c r="M14" s="10">
        <f t="shared" si="0"/>
        <v>864.03241907921085</v>
      </c>
      <c r="N14" s="10">
        <f t="shared" si="6"/>
        <v>376.38876302170615</v>
      </c>
      <c r="O14" s="10">
        <f t="shared" si="1"/>
        <v>487.6436560575047</v>
      </c>
      <c r="P14" s="11">
        <f t="shared" si="2"/>
        <v>0.56438120293817307</v>
      </c>
    </row>
    <row r="15" spans="2:18" x14ac:dyDescent="0.25">
      <c r="J15" s="7">
        <f t="shared" si="3"/>
        <v>12</v>
      </c>
      <c r="K15" s="8">
        <f t="shared" si="4"/>
        <v>5820.0806658526744</v>
      </c>
      <c r="L15" s="9">
        <f t="shared" si="5"/>
        <v>0.1502259874991691</v>
      </c>
      <c r="M15" s="10">
        <f t="shared" si="0"/>
        <v>874.32736535253969</v>
      </c>
      <c r="N15" s="10">
        <f t="shared" si="6"/>
        <v>382.78737199307517</v>
      </c>
      <c r="O15" s="10">
        <f t="shared" si="1"/>
        <v>491.53999335946452</v>
      </c>
      <c r="P15" s="11">
        <f t="shared" si="2"/>
        <v>0.56219216375695791</v>
      </c>
    </row>
    <row r="16" spans="2:18" ht="15.75" thickBot="1" x14ac:dyDescent="0.3">
      <c r="B16" s="17" t="s">
        <v>3</v>
      </c>
      <c r="J16" s="7">
        <f>J15+1</f>
        <v>13</v>
      </c>
      <c r="K16" s="8">
        <f>K15-(K15*$D$12)</f>
        <v>5790.9802625234115</v>
      </c>
      <c r="L16" s="9">
        <f>L15+(L15*$D$13)</f>
        <v>0.15277982928665498</v>
      </c>
      <c r="M16" s="10">
        <f t="shared" ref="M16:M28" si="7">IF(J16&lt;=$D$14,K16*L16,0)</f>
        <v>884.74497591071531</v>
      </c>
      <c r="N16" s="10">
        <f t="shared" si="6"/>
        <v>389.29475731695743</v>
      </c>
      <c r="O16" s="10">
        <f t="shared" si="1"/>
        <v>495.45021859375788</v>
      </c>
      <c r="P16" s="11">
        <f t="shared" si="2"/>
        <v>0.55999212437885215</v>
      </c>
    </row>
    <row r="17" spans="2:21" ht="15.75" thickBot="1" x14ac:dyDescent="0.3">
      <c r="B17" s="1" t="s">
        <v>17</v>
      </c>
      <c r="D17" s="25">
        <v>0.12479999999999999</v>
      </c>
      <c r="J17" s="7">
        <f t="shared" si="3"/>
        <v>14</v>
      </c>
      <c r="K17" s="8">
        <f t="shared" si="4"/>
        <v>5762.0253612107945</v>
      </c>
      <c r="L17" s="9">
        <f t="shared" si="5"/>
        <v>0.15537708638452813</v>
      </c>
      <c r="M17" s="10">
        <f t="shared" si="7"/>
        <v>895.28671229869155</v>
      </c>
      <c r="N17" s="10">
        <f t="shared" si="6"/>
        <v>395.91276819134572</v>
      </c>
      <c r="O17" s="10">
        <f t="shared" si="1"/>
        <v>499.37394410734584</v>
      </c>
      <c r="P17" s="11">
        <f t="shared" si="2"/>
        <v>0.55778102952648467</v>
      </c>
    </row>
    <row r="18" spans="2:21" ht="15.75" thickBot="1" x14ac:dyDescent="0.3">
      <c r="B18" s="1" t="s">
        <v>13</v>
      </c>
      <c r="D18" s="30">
        <v>1.7000000000000001E-2</v>
      </c>
      <c r="J18" s="7">
        <f t="shared" si="3"/>
        <v>15</v>
      </c>
      <c r="K18" s="8">
        <f t="shared" si="4"/>
        <v>5733.2152344047408</v>
      </c>
      <c r="L18" s="9">
        <f t="shared" si="5"/>
        <v>0.1580184968530651</v>
      </c>
      <c r="M18" s="10">
        <f t="shared" si="7"/>
        <v>905.95405347573046</v>
      </c>
      <c r="N18" s="10">
        <f t="shared" si="6"/>
        <v>402.64328525059858</v>
      </c>
      <c r="O18" s="10">
        <f t="shared" si="1"/>
        <v>503.31076822513188</v>
      </c>
      <c r="P18" s="11">
        <f t="shared" si="2"/>
        <v>0.55555882364470821</v>
      </c>
    </row>
    <row r="19" spans="2:21" x14ac:dyDescent="0.25">
      <c r="D19" s="16"/>
      <c r="J19" s="7">
        <f>J18+1</f>
        <v>16</v>
      </c>
      <c r="K19" s="8">
        <f t="shared" si="4"/>
        <v>5704.5491582327168</v>
      </c>
      <c r="L19" s="9">
        <f t="shared" si="5"/>
        <v>0.16070481129956721</v>
      </c>
      <c r="M19" s="10">
        <f t="shared" si="7"/>
        <v>916.74849602289373</v>
      </c>
      <c r="N19" s="10">
        <f t="shared" si="6"/>
        <v>0</v>
      </c>
      <c r="O19" s="10">
        <f t="shared" si="1"/>
        <v>916.74849602289373</v>
      </c>
      <c r="P19" s="11">
        <f t="shared" si="2"/>
        <v>1</v>
      </c>
      <c r="U19" t="s">
        <v>24</v>
      </c>
    </row>
    <row r="20" spans="2:21" x14ac:dyDescent="0.25">
      <c r="C20" s="16"/>
      <c r="D20" s="42" t="s">
        <v>46</v>
      </c>
      <c r="F20" s="42" t="s">
        <v>44</v>
      </c>
      <c r="H20" s="2"/>
      <c r="J20" s="7">
        <f t="shared" si="3"/>
        <v>17</v>
      </c>
      <c r="K20" s="8">
        <f t="shared" si="4"/>
        <v>5676.0264124415535</v>
      </c>
      <c r="L20" s="9">
        <f t="shared" si="5"/>
        <v>0.16343679309165984</v>
      </c>
      <c r="M20" s="10">
        <f t="shared" si="7"/>
        <v>927.67155435300651</v>
      </c>
      <c r="N20" s="10">
        <f t="shared" si="6"/>
        <v>0</v>
      </c>
      <c r="O20" s="10">
        <f t="shared" si="1"/>
        <v>927.67155435300651</v>
      </c>
      <c r="P20" s="11">
        <f t="shared" si="2"/>
        <v>1</v>
      </c>
    </row>
    <row r="21" spans="2:21" ht="15.75" thickBot="1" x14ac:dyDescent="0.3">
      <c r="B21" s="34" t="s">
        <v>43</v>
      </c>
      <c r="C21" s="38"/>
      <c r="D21" s="43"/>
      <c r="E21" s="32"/>
      <c r="F21" s="43"/>
      <c r="G21" s="33"/>
      <c r="H21" s="2" t="s">
        <v>45</v>
      </c>
      <c r="J21" s="7">
        <f t="shared" si="3"/>
        <v>18</v>
      </c>
      <c r="K21" s="8">
        <f t="shared" si="4"/>
        <v>5647.6462803793456</v>
      </c>
      <c r="L21" s="9">
        <f t="shared" si="5"/>
        <v>0.16621521857421806</v>
      </c>
      <c r="M21" s="10">
        <f t="shared" si="7"/>
        <v>938.72476092312252</v>
      </c>
      <c r="N21" s="10">
        <f t="shared" si="6"/>
        <v>0</v>
      </c>
      <c r="O21" s="10">
        <f t="shared" si="1"/>
        <v>938.72476092312252</v>
      </c>
      <c r="P21" s="11">
        <f t="shared" si="2"/>
        <v>1</v>
      </c>
    </row>
    <row r="22" spans="2:21" ht="15.75" thickBot="1" x14ac:dyDescent="0.3">
      <c r="B22" t="s">
        <v>39</v>
      </c>
      <c r="C22" s="38"/>
      <c r="D22" s="26" t="s">
        <v>15</v>
      </c>
      <c r="F22" s="26" t="s">
        <v>15</v>
      </c>
      <c r="H22" s="28">
        <v>0</v>
      </c>
      <c r="J22" s="7">
        <f t="shared" si="3"/>
        <v>19</v>
      </c>
      <c r="K22" s="8">
        <f t="shared" si="4"/>
        <v>5619.4080489774487</v>
      </c>
      <c r="L22" s="9">
        <f t="shared" si="5"/>
        <v>0.16904087728997977</v>
      </c>
      <c r="M22" s="10">
        <f t="shared" si="7"/>
        <v>949.90966644952152</v>
      </c>
      <c r="N22" s="10">
        <f t="shared" si="6"/>
        <v>0</v>
      </c>
      <c r="O22" s="10">
        <f t="shared" si="1"/>
        <v>949.90966644952152</v>
      </c>
      <c r="P22" s="11">
        <f t="shared" si="2"/>
        <v>1</v>
      </c>
    </row>
    <row r="23" spans="2:21" ht="15.75" thickBot="1" x14ac:dyDescent="0.3">
      <c r="B23" t="s">
        <v>42</v>
      </c>
      <c r="C23" s="16"/>
      <c r="D23" s="26" t="s">
        <v>15</v>
      </c>
      <c r="F23" s="26" t="s">
        <v>15</v>
      </c>
      <c r="H23" s="28">
        <v>0</v>
      </c>
      <c r="J23" s="7">
        <f t="shared" si="3"/>
        <v>20</v>
      </c>
      <c r="K23" s="8">
        <f t="shared" si="4"/>
        <v>5591.3110087325613</v>
      </c>
      <c r="L23" s="9">
        <f t="shared" si="5"/>
        <v>0.17191457220390943</v>
      </c>
      <c r="M23" s="10">
        <f t="shared" si="7"/>
        <v>961.22784012526756</v>
      </c>
      <c r="N23" s="10">
        <f t="shared" si="6"/>
        <v>0</v>
      </c>
      <c r="O23" s="10">
        <f t="shared" si="1"/>
        <v>961.22784012526756</v>
      </c>
      <c r="P23" s="11">
        <f t="shared" si="2"/>
        <v>1</v>
      </c>
    </row>
    <row r="24" spans="2:21" ht="15.75" thickBot="1" x14ac:dyDescent="0.3">
      <c r="B24" t="s">
        <v>40</v>
      </c>
      <c r="C24" s="16"/>
      <c r="D24" s="26" t="s">
        <v>14</v>
      </c>
      <c r="F24" s="26" t="s">
        <v>14</v>
      </c>
      <c r="H24" s="28">
        <v>100</v>
      </c>
      <c r="J24" s="7">
        <f t="shared" si="3"/>
        <v>21</v>
      </c>
      <c r="K24" s="8">
        <f t="shared" si="4"/>
        <v>5563.3544536888985</v>
      </c>
      <c r="L24" s="9">
        <f t="shared" si="5"/>
        <v>0.17483711993137591</v>
      </c>
      <c r="M24" s="10">
        <f t="shared" si="7"/>
        <v>972.68086984036029</v>
      </c>
      <c r="N24" s="10">
        <f t="shared" si="6"/>
        <v>0</v>
      </c>
      <c r="O24" s="10">
        <f t="shared" si="1"/>
        <v>972.68086984036029</v>
      </c>
      <c r="P24" s="11">
        <f t="shared" si="2"/>
        <v>1</v>
      </c>
    </row>
    <row r="25" spans="2:21" ht="15.75" thickBot="1" x14ac:dyDescent="0.3">
      <c r="B25" t="s">
        <v>47</v>
      </c>
      <c r="C25" s="16"/>
      <c r="D25" s="26" t="s">
        <v>14</v>
      </c>
      <c r="F25" s="26" t="s">
        <v>14</v>
      </c>
      <c r="H25" s="28">
        <v>100</v>
      </c>
      <c r="J25" s="7">
        <f t="shared" si="3"/>
        <v>22</v>
      </c>
      <c r="K25" s="8">
        <f t="shared" si="4"/>
        <v>5535.5376814204537</v>
      </c>
      <c r="L25" s="9">
        <f t="shared" si="5"/>
        <v>0.17780935097020931</v>
      </c>
      <c r="M25" s="10">
        <f t="shared" si="7"/>
        <v>984.27036240450809</v>
      </c>
      <c r="N25" s="10">
        <f t="shared" si="6"/>
        <v>0</v>
      </c>
      <c r="O25" s="10">
        <f t="shared" si="1"/>
        <v>984.27036240450809</v>
      </c>
      <c r="P25" s="11">
        <f t="shared" si="2"/>
        <v>1</v>
      </c>
    </row>
    <row r="26" spans="2:21" ht="15.75" thickBot="1" x14ac:dyDescent="0.3">
      <c r="B26" t="s">
        <v>48</v>
      </c>
      <c r="C26" s="16"/>
      <c r="D26" s="26" t="s">
        <v>15</v>
      </c>
      <c r="F26" s="26" t="s">
        <v>15</v>
      </c>
      <c r="H26" s="28">
        <v>0</v>
      </c>
      <c r="J26" s="7">
        <f t="shared" si="3"/>
        <v>23</v>
      </c>
      <c r="K26" s="8">
        <f t="shared" si="4"/>
        <v>5507.8599930133514</v>
      </c>
      <c r="L26" s="9">
        <f t="shared" si="5"/>
        <v>0.18083210993670287</v>
      </c>
      <c r="M26" s="10">
        <f t="shared" si="7"/>
        <v>995.99794377255785</v>
      </c>
      <c r="N26" s="10">
        <f t="shared" si="6"/>
        <v>0</v>
      </c>
      <c r="O26" s="10">
        <f t="shared" si="1"/>
        <v>995.99794377255785</v>
      </c>
      <c r="P26" s="11">
        <f t="shared" si="2"/>
        <v>1</v>
      </c>
    </row>
    <row r="27" spans="2:21" ht="15.75" thickBot="1" x14ac:dyDescent="0.3">
      <c r="B27" s="39"/>
      <c r="C27" s="16"/>
      <c r="D27" s="16"/>
      <c r="J27" s="7">
        <f t="shared" si="3"/>
        <v>24</v>
      </c>
      <c r="K27" s="8">
        <f t="shared" si="4"/>
        <v>5480.3206930482847</v>
      </c>
      <c r="L27" s="9">
        <f t="shared" si="5"/>
        <v>0.18390625580562683</v>
      </c>
      <c r="M27" s="10">
        <f t="shared" si="7"/>
        <v>1007.865259272608</v>
      </c>
      <c r="N27" s="10">
        <f t="shared" si="6"/>
        <v>0</v>
      </c>
      <c r="O27" s="10">
        <f t="shared" si="1"/>
        <v>1007.865259272608</v>
      </c>
      <c r="P27" s="11">
        <f t="shared" si="2"/>
        <v>1</v>
      </c>
    </row>
    <row r="28" spans="2:21" ht="15.75" thickBot="1" x14ac:dyDescent="0.3">
      <c r="B28" s="33" t="s">
        <v>49</v>
      </c>
      <c r="C28" s="16"/>
      <c r="D28" s="26" t="s">
        <v>15</v>
      </c>
      <c r="F28" s="26" t="s">
        <v>15</v>
      </c>
      <c r="H28" s="28">
        <v>0</v>
      </c>
      <c r="J28" s="7">
        <f t="shared" si="3"/>
        <v>25</v>
      </c>
      <c r="K28" s="8">
        <f t="shared" si="4"/>
        <v>5452.9190895830434</v>
      </c>
      <c r="L28" s="9">
        <f t="shared" si="5"/>
        <v>0.18703266215432249</v>
      </c>
      <c r="M28" s="10">
        <f t="shared" si="7"/>
        <v>1019.8739738368411</v>
      </c>
      <c r="N28" s="10">
        <f t="shared" si="6"/>
        <v>0</v>
      </c>
      <c r="O28" s="10">
        <f t="shared" si="1"/>
        <v>1019.8739738368411</v>
      </c>
      <c r="P28" s="11">
        <f t="shared" si="2"/>
        <v>1</v>
      </c>
    </row>
    <row r="29" spans="2:21" ht="15.75" thickBot="1" x14ac:dyDescent="0.3">
      <c r="B29" s="39"/>
      <c r="C29" s="16"/>
      <c r="D29" s="16"/>
      <c r="J29" s="7"/>
      <c r="K29" s="8"/>
      <c r="L29" s="9"/>
      <c r="M29" s="10"/>
      <c r="N29" s="10"/>
      <c r="O29" s="10"/>
      <c r="P29" s="11"/>
    </row>
    <row r="30" spans="2:21" ht="15.75" thickBot="1" x14ac:dyDescent="0.3">
      <c r="B30" s="33" t="s">
        <v>50</v>
      </c>
      <c r="C30" s="16"/>
      <c r="D30" s="26" t="s">
        <v>15</v>
      </c>
      <c r="F30" s="26" t="s">
        <v>15</v>
      </c>
      <c r="H30" s="28">
        <v>0</v>
      </c>
      <c r="J30" s="12"/>
      <c r="K30" s="13"/>
      <c r="L30" s="13"/>
      <c r="M30" s="14">
        <f>SUM(M4:M28)</f>
        <v>22199.393389434063</v>
      </c>
      <c r="N30" s="14">
        <f>SUM(N4:N28)</f>
        <v>5381.660064697573</v>
      </c>
      <c r="O30" s="14">
        <f>SUM(O4:O28)</f>
        <v>16817.733324736488</v>
      </c>
      <c r="P30" s="15">
        <f>(M30-N30)/M30</f>
        <v>0.75757625578818699</v>
      </c>
    </row>
    <row r="31" spans="2:21" ht="15.75" thickBot="1" x14ac:dyDescent="0.3">
      <c r="B31" s="39"/>
      <c r="C31" s="16"/>
      <c r="D31" s="16"/>
    </row>
    <row r="32" spans="2:21" ht="15.75" thickBot="1" x14ac:dyDescent="0.3">
      <c r="D32" s="16"/>
    </row>
    <row r="33" spans="2:4" ht="30.75" thickBot="1" x14ac:dyDescent="0.3">
      <c r="B33" s="34" t="s">
        <v>35</v>
      </c>
      <c r="C33" s="40"/>
      <c r="D33" s="41">
        <f>SUMIFS(H22:H30, D22:D30, "Yes", F22:F30, "No")</f>
        <v>0</v>
      </c>
    </row>
    <row r="35" spans="2:4" ht="15.75" thickBot="1" x14ac:dyDescent="0.3">
      <c r="B35" s="17" t="s">
        <v>51</v>
      </c>
    </row>
    <row r="36" spans="2:4" ht="15.75" thickBot="1" x14ac:dyDescent="0.3">
      <c r="B36" s="21" t="s">
        <v>25</v>
      </c>
      <c r="D36" s="22">
        <f>P4</f>
        <v>0.58567854909318318</v>
      </c>
    </row>
    <row r="37" spans="2:4" ht="15.75" thickBot="1" x14ac:dyDescent="0.3"/>
    <row r="38" spans="2:4" ht="15.75" thickBot="1" x14ac:dyDescent="0.3">
      <c r="B38" s="21" t="s">
        <v>34</v>
      </c>
      <c r="D38" s="22">
        <f>P30</f>
        <v>0.75757625578818699</v>
      </c>
    </row>
    <row r="178" spans="2:2" x14ac:dyDescent="0.25">
      <c r="B178" s="1" t="s">
        <v>5</v>
      </c>
    </row>
    <row r="179" spans="2:2" x14ac:dyDescent="0.25">
      <c r="B179" s="1" t="s">
        <v>6</v>
      </c>
    </row>
    <row r="181" spans="2:2" x14ac:dyDescent="0.25">
      <c r="B181" s="1" t="s">
        <v>14</v>
      </c>
    </row>
    <row r="182" spans="2:2" x14ac:dyDescent="0.25">
      <c r="B182" s="1" t="s">
        <v>15</v>
      </c>
    </row>
  </sheetData>
  <sheetProtection algorithmName="SHA-512" hashValue="hJbkphETp1Izv28NAlgvItCZpW1LdsnDeN1RRz3CWnriZI+pXuvcMWoi7hlyebOZXUPYw9mhW1mhIglN2qE1+w==" saltValue="TjJNCgVNlumafXD3lMT9rA==" spinCount="100000" sheet="1" objects="1" scenarios="1"/>
  <mergeCells count="2">
    <mergeCell ref="D20:D21"/>
    <mergeCell ref="F20:F21"/>
  </mergeCells>
  <conditionalFormatting sqref="D36">
    <cfRule type="expression" dxfId="4" priority="3">
      <formula>D36&lt;=0.5</formula>
    </cfRule>
    <cfRule type="expression" dxfId="3" priority="5">
      <formula>D36&gt;0.5</formula>
    </cfRule>
  </conditionalFormatting>
  <conditionalFormatting sqref="D5">
    <cfRule type="expression" dxfId="2" priority="4">
      <formula>"d23&lt;=.5"</formula>
    </cfRule>
  </conditionalFormatting>
  <conditionalFormatting sqref="D38">
    <cfRule type="expression" dxfId="1" priority="1">
      <formula>D38&lt;=0.5</formula>
    </cfRule>
    <cfRule type="expression" dxfId="0" priority="2">
      <formula>D38&gt;0.5</formula>
    </cfRule>
  </conditionalFormatting>
  <dataValidations count="2">
    <dataValidation type="list" allowBlank="1" showInputMessage="1" showErrorMessage="1" sqref="D6" xr:uid="{68ADFF44-EA7A-40CE-9A7C-EE62143DF02A}">
      <formula1>$B$178:$B$179</formula1>
    </dataValidation>
    <dataValidation type="list" allowBlank="1" showInputMessage="1" showErrorMessage="1" sqref="D22:D26 F30 F22:F26 F28 D30 D28" xr:uid="{4346897F-A874-40D8-9337-F0F69DCE9C7C}">
      <formula1>$B$181:$B$182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PPA</vt:lpstr>
      <vt:lpstr>Lease</vt:lpstr>
      <vt:lpstr>Purchase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 Greco</dc:creator>
  <cp:lastModifiedBy>Vito Greco</cp:lastModifiedBy>
  <dcterms:created xsi:type="dcterms:W3CDTF">2019-05-06T20:08:39Z</dcterms:created>
  <dcterms:modified xsi:type="dcterms:W3CDTF">2019-08-05T15:21:10Z</dcterms:modified>
</cp:coreProperties>
</file>